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EELANCE\UPWORK\68. Kevin Barnett Construction\1. 2955 Outlook Way WD\"/>
    </mc:Choice>
  </mc:AlternateContent>
  <xr:revisionPtr revIDLastSave="0" documentId="13_ncr:1_{E0293E52-F642-4FE2-B8D7-5345B8DADCA9}" xr6:coauthVersionLast="47" xr6:coauthVersionMax="47" xr10:uidLastSave="{00000000-0000-0000-0000-000000000000}"/>
  <bookViews>
    <workbookView xWindow="20370" yWindow="-120" windowWidth="29040" windowHeight="15840" tabRatio="853" activeTab="1" xr2:uid="{00000000-000D-0000-FFFF-FFFF00000000}"/>
  </bookViews>
  <sheets>
    <sheet name="PROJECT SUMMARY" sheetId="1" r:id="rId1"/>
    <sheet name="BASE BID" sheetId="5" r:id="rId2"/>
  </sheets>
  <externalReferences>
    <externalReference r:id="rId3"/>
  </externalReferences>
  <definedNames>
    <definedName name="_xlnm._FilterDatabase" localSheetId="1" hidden="1">'BASE BID'!$A$13:$P$450</definedName>
    <definedName name="_xlnm.Print_Area" localSheetId="1">'BASE BID'!$A$1:$P$12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5" l="1"/>
  <c r="E272" i="5"/>
  <c r="E271" i="5"/>
  <c r="E270" i="5"/>
  <c r="A23" i="5"/>
  <c r="A26" i="5"/>
  <c r="A29" i="5"/>
  <c r="A32" i="5"/>
  <c r="A35" i="5"/>
  <c r="A37" i="5"/>
  <c r="A38" i="5"/>
  <c r="A43" i="5"/>
  <c r="A44" i="5"/>
  <c r="A46" i="5"/>
  <c r="A47" i="5"/>
  <c r="A51" i="5"/>
  <c r="A52" i="5"/>
  <c r="A53" i="5"/>
  <c r="A54" i="5"/>
  <c r="A56" i="5"/>
  <c r="A57" i="5"/>
  <c r="A59" i="5"/>
  <c r="A60" i="5"/>
  <c r="A62" i="5"/>
  <c r="A63" i="5"/>
  <c r="A64" i="5"/>
  <c r="A65" i="5"/>
  <c r="A70" i="5"/>
  <c r="A71" i="5"/>
  <c r="A73" i="5"/>
  <c r="A74" i="5"/>
  <c r="A78" i="5"/>
  <c r="A79" i="5"/>
  <c r="A82" i="5"/>
  <c r="A83" i="5"/>
  <c r="A84" i="5"/>
  <c r="A85" i="5"/>
  <c r="A90" i="5"/>
  <c r="A91" i="5"/>
  <c r="A96" i="5"/>
  <c r="A101" i="5"/>
  <c r="A103" i="5"/>
  <c r="A104" i="5"/>
  <c r="A105" i="5"/>
  <c r="A106" i="5"/>
  <c r="A124" i="5"/>
  <c r="A125" i="5"/>
  <c r="A127" i="5"/>
  <c r="A128" i="5"/>
  <c r="A143" i="5"/>
  <c r="A144" i="5"/>
  <c r="A145" i="5"/>
  <c r="A146" i="5"/>
  <c r="A147" i="5"/>
  <c r="A148" i="5"/>
  <c r="A155" i="5"/>
  <c r="A156" i="5"/>
  <c r="A161" i="5"/>
  <c r="A162" i="5"/>
  <c r="A169" i="5"/>
  <c r="A170" i="5"/>
  <c r="A178" i="5"/>
  <c r="A179" i="5"/>
  <c r="A186" i="5"/>
  <c r="A187" i="5"/>
  <c r="A194" i="5"/>
  <c r="A195" i="5"/>
  <c r="A202" i="5"/>
  <c r="A203" i="5"/>
  <c r="A210" i="5"/>
  <c r="A211" i="5"/>
  <c r="A218" i="5"/>
  <c r="A219" i="5"/>
  <c r="A227" i="5"/>
  <c r="A228" i="5"/>
  <c r="A235" i="5"/>
  <c r="A236" i="5"/>
  <c r="A242" i="5"/>
  <c r="A243" i="5"/>
  <c r="A250" i="5"/>
  <c r="A251" i="5"/>
  <c r="A257" i="5"/>
  <c r="A258" i="5"/>
  <c r="A264" i="5"/>
  <c r="A265" i="5"/>
  <c r="A269" i="5"/>
  <c r="A273" i="5"/>
  <c r="A274" i="5"/>
  <c r="A277" i="5"/>
  <c r="A278" i="5"/>
  <c r="A282" i="5"/>
  <c r="A284" i="5"/>
  <c r="A285" i="5"/>
  <c r="A288" i="5"/>
  <c r="A289" i="5"/>
  <c r="A291" i="5"/>
  <c r="A292" i="5"/>
  <c r="A294" i="5"/>
  <c r="A295" i="5"/>
  <c r="A297" i="5"/>
  <c r="A298" i="5"/>
  <c r="A299" i="5"/>
  <c r="A300" i="5"/>
  <c r="A302" i="5"/>
  <c r="A303" i="5"/>
  <c r="A305" i="5"/>
  <c r="A306" i="5"/>
  <c r="A322" i="5"/>
  <c r="A323" i="5"/>
  <c r="A326" i="5"/>
  <c r="A327" i="5"/>
  <c r="A331" i="5"/>
  <c r="A334" i="5"/>
  <c r="A335" i="5"/>
  <c r="A336" i="5"/>
  <c r="A337" i="5"/>
  <c r="A344" i="5"/>
  <c r="A345" i="5"/>
  <c r="A347" i="5"/>
  <c r="A348" i="5"/>
  <c r="A349" i="5"/>
  <c r="A350" i="5"/>
  <c r="A357" i="5"/>
  <c r="A358" i="5"/>
  <c r="A359" i="5"/>
  <c r="A360" i="5"/>
  <c r="A366" i="5"/>
  <c r="A372" i="5"/>
  <c r="A377" i="5"/>
  <c r="A378" i="5"/>
  <c r="A379" i="5"/>
  <c r="A381" i="5"/>
  <c r="A382" i="5"/>
  <c r="A388" i="5"/>
  <c r="A389" i="5"/>
  <c r="A390" i="5"/>
  <c r="A392" i="5"/>
  <c r="A393" i="5"/>
  <c r="A397" i="5"/>
  <c r="A398" i="5"/>
  <c r="A399" i="5"/>
  <c r="A400" i="5"/>
  <c r="A403" i="5"/>
  <c r="A404" i="5"/>
  <c r="A408" i="5"/>
  <c r="A409" i="5"/>
  <c r="A413" i="5"/>
  <c r="A414" i="5"/>
  <c r="A416" i="5"/>
  <c r="A419" i="5"/>
  <c r="A420" i="5"/>
  <c r="A421" i="5"/>
  <c r="A422" i="5"/>
  <c r="A424" i="5"/>
  <c r="A425" i="5"/>
  <c r="A426" i="5"/>
  <c r="A430" i="5"/>
  <c r="A431" i="5"/>
  <c r="A432" i="5"/>
  <c r="A433" i="5"/>
  <c r="A437" i="5"/>
  <c r="A440" i="5"/>
  <c r="A443" i="5"/>
  <c r="A446" i="5"/>
  <c r="A447" i="5"/>
  <c r="F102" i="5"/>
  <c r="G102" i="5" s="1"/>
  <c r="E428" i="5"/>
  <c r="E266" i="5"/>
  <c r="F268" i="5"/>
  <c r="E268" i="5"/>
  <c r="F267" i="5"/>
  <c r="E267" i="5"/>
  <c r="F266" i="5"/>
  <c r="E245" i="5"/>
  <c r="E244" i="5"/>
  <c r="F245" i="5"/>
  <c r="F256" i="5"/>
  <c r="E256" i="5"/>
  <c r="F255" i="5"/>
  <c r="E255" i="5"/>
  <c r="F254" i="5"/>
  <c r="E254" i="5"/>
  <c r="F253" i="5"/>
  <c r="E253" i="5"/>
  <c r="F252" i="5"/>
  <c r="E252" i="5"/>
  <c r="F249" i="5"/>
  <c r="E249" i="5"/>
  <c r="F248" i="5"/>
  <c r="E248" i="5"/>
  <c r="F247" i="5"/>
  <c r="E247" i="5"/>
  <c r="F246" i="5"/>
  <c r="E246" i="5"/>
  <c r="F244" i="5"/>
  <c r="E196" i="5"/>
  <c r="E204" i="5"/>
  <c r="E259" i="5"/>
  <c r="E237" i="5"/>
  <c r="F234" i="5"/>
  <c r="E234" i="5"/>
  <c r="F233" i="5"/>
  <c r="E233" i="5"/>
  <c r="F232" i="5"/>
  <c r="E232" i="5"/>
  <c r="F231" i="5"/>
  <c r="E231" i="5"/>
  <c r="F230" i="5"/>
  <c r="E230" i="5"/>
  <c r="F229" i="5"/>
  <c r="E229" i="5"/>
  <c r="F263" i="5"/>
  <c r="E263" i="5"/>
  <c r="F262" i="5"/>
  <c r="E262" i="5"/>
  <c r="F261" i="5"/>
  <c r="E261" i="5"/>
  <c r="F260" i="5"/>
  <c r="E260" i="5"/>
  <c r="F259" i="5"/>
  <c r="F241" i="5"/>
  <c r="E241" i="5"/>
  <c r="F240" i="5"/>
  <c r="E240" i="5"/>
  <c r="F239" i="5"/>
  <c r="E239" i="5"/>
  <c r="F238" i="5"/>
  <c r="E238" i="5"/>
  <c r="F237" i="5"/>
  <c r="F209" i="5"/>
  <c r="E209" i="5"/>
  <c r="F208" i="5"/>
  <c r="E208" i="5"/>
  <c r="F207" i="5"/>
  <c r="E207" i="5"/>
  <c r="F206" i="5"/>
  <c r="E206" i="5"/>
  <c r="F205" i="5"/>
  <c r="E205" i="5"/>
  <c r="F204" i="5"/>
  <c r="E226" i="5"/>
  <c r="E225" i="5"/>
  <c r="E224" i="5"/>
  <c r="E223" i="5"/>
  <c r="E222" i="5"/>
  <c r="E221" i="5"/>
  <c r="E220" i="5"/>
  <c r="F221" i="5"/>
  <c r="F226" i="5"/>
  <c r="F225" i="5"/>
  <c r="F224" i="5"/>
  <c r="F223" i="5"/>
  <c r="F222" i="5"/>
  <c r="F220" i="5"/>
  <c r="E212" i="5"/>
  <c r="F217" i="5"/>
  <c r="E217" i="5"/>
  <c r="F216" i="5"/>
  <c r="E216" i="5"/>
  <c r="F215" i="5"/>
  <c r="E215" i="5"/>
  <c r="F214" i="5"/>
  <c r="E214" i="5"/>
  <c r="F213" i="5"/>
  <c r="E213" i="5"/>
  <c r="F212" i="5"/>
  <c r="F201" i="5"/>
  <c r="E201" i="5"/>
  <c r="F200" i="5"/>
  <c r="E200" i="5"/>
  <c r="F199" i="5"/>
  <c r="E199" i="5"/>
  <c r="F198" i="5"/>
  <c r="E198" i="5"/>
  <c r="F197" i="5"/>
  <c r="E197" i="5"/>
  <c r="F196" i="5"/>
  <c r="F193" i="5"/>
  <c r="E193" i="5"/>
  <c r="F192" i="5"/>
  <c r="E192" i="5"/>
  <c r="F191" i="5"/>
  <c r="E191" i="5"/>
  <c r="F190" i="5"/>
  <c r="E190" i="5"/>
  <c r="F189" i="5"/>
  <c r="E189" i="5"/>
  <c r="F188" i="5"/>
  <c r="E188" i="5"/>
  <c r="E180" i="5"/>
  <c r="E185" i="5"/>
  <c r="E184" i="5"/>
  <c r="E183" i="5"/>
  <c r="E182" i="5"/>
  <c r="E181" i="5"/>
  <c r="F185" i="5"/>
  <c r="G185" i="5" s="1"/>
  <c r="F184" i="5"/>
  <c r="F183" i="5"/>
  <c r="F182" i="5"/>
  <c r="F181" i="5"/>
  <c r="F180" i="5"/>
  <c r="E172" i="5"/>
  <c r="E171" i="5"/>
  <c r="F172" i="5"/>
  <c r="F177" i="5"/>
  <c r="E177" i="5"/>
  <c r="F176" i="5"/>
  <c r="E176" i="5"/>
  <c r="F175" i="5"/>
  <c r="E175" i="5"/>
  <c r="F174" i="5"/>
  <c r="E174" i="5"/>
  <c r="F173" i="5"/>
  <c r="E173" i="5"/>
  <c r="F171" i="5"/>
  <c r="E167" i="5"/>
  <c r="E163" i="5"/>
  <c r="F168" i="5"/>
  <c r="E168" i="5"/>
  <c r="F167" i="5"/>
  <c r="F166" i="5"/>
  <c r="E166" i="5"/>
  <c r="F165" i="5"/>
  <c r="E165" i="5"/>
  <c r="F164" i="5"/>
  <c r="E164" i="5"/>
  <c r="F163" i="5"/>
  <c r="E157" i="5"/>
  <c r="F160" i="5"/>
  <c r="E160" i="5"/>
  <c r="F159" i="5"/>
  <c r="E159" i="5"/>
  <c r="F158" i="5"/>
  <c r="E158" i="5"/>
  <c r="F157" i="5"/>
  <c r="E151" i="5"/>
  <c r="N185" i="5" l="1"/>
  <c r="J185" i="5"/>
  <c r="L185" i="5" s="1"/>
  <c r="O185" i="5" s="1"/>
  <c r="N102" i="5"/>
  <c r="J102" i="5"/>
  <c r="L102" i="5" s="1"/>
  <c r="G183" i="5"/>
  <c r="G266" i="5"/>
  <c r="G267" i="5"/>
  <c r="G268" i="5"/>
  <c r="G256" i="5"/>
  <c r="G255" i="5"/>
  <c r="G245" i="5"/>
  <c r="G248" i="5"/>
  <c r="G253" i="5"/>
  <c r="G254" i="5"/>
  <c r="G252" i="5"/>
  <c r="G247" i="5"/>
  <c r="G230" i="5"/>
  <c r="G234" i="5"/>
  <c r="G244" i="5"/>
  <c r="G249" i="5"/>
  <c r="G231" i="5"/>
  <c r="G246" i="5"/>
  <c r="G232" i="5"/>
  <c r="G229" i="5"/>
  <c r="G233" i="5"/>
  <c r="G208" i="5"/>
  <c r="G204" i="5"/>
  <c r="G163" i="5"/>
  <c r="G216" i="5"/>
  <c r="G263" i="5"/>
  <c r="G238" i="5"/>
  <c r="G182" i="5"/>
  <c r="G239" i="5"/>
  <c r="G184" i="5"/>
  <c r="G240" i="5"/>
  <c r="G207" i="5"/>
  <c r="G237" i="5"/>
  <c r="G241" i="5"/>
  <c r="G259" i="5"/>
  <c r="G260" i="5"/>
  <c r="G261" i="5"/>
  <c r="G262" i="5"/>
  <c r="G205" i="5"/>
  <c r="G209" i="5"/>
  <c r="G206" i="5"/>
  <c r="G223" i="5"/>
  <c r="G221" i="5"/>
  <c r="G224" i="5"/>
  <c r="G220" i="5"/>
  <c r="G225" i="5"/>
  <c r="G222" i="5"/>
  <c r="G226" i="5"/>
  <c r="G196" i="5"/>
  <c r="G212" i="5"/>
  <c r="G217" i="5"/>
  <c r="G214" i="5"/>
  <c r="G215" i="5"/>
  <c r="G213" i="5"/>
  <c r="G197" i="5"/>
  <c r="G198" i="5"/>
  <c r="G199" i="5"/>
  <c r="G200" i="5"/>
  <c r="G201" i="5"/>
  <c r="G164" i="5"/>
  <c r="G189" i="5"/>
  <c r="G193" i="5"/>
  <c r="G190" i="5"/>
  <c r="G191" i="5"/>
  <c r="G188" i="5"/>
  <c r="G192" i="5"/>
  <c r="G181" i="5"/>
  <c r="G180" i="5"/>
  <c r="G172" i="5"/>
  <c r="G166" i="5"/>
  <c r="G168" i="5"/>
  <c r="G174" i="5"/>
  <c r="G175" i="5"/>
  <c r="G171" i="5"/>
  <c r="G176" i="5"/>
  <c r="G173" i="5"/>
  <c r="G177" i="5"/>
  <c r="G165" i="5"/>
  <c r="G167" i="5"/>
  <c r="G158" i="5"/>
  <c r="G159" i="5"/>
  <c r="G157" i="5"/>
  <c r="G160" i="5"/>
  <c r="F95" i="5"/>
  <c r="G95" i="5" s="1"/>
  <c r="E42" i="5"/>
  <c r="F41" i="5"/>
  <c r="G41" i="5" s="1"/>
  <c r="N216" i="5" l="1"/>
  <c r="J216" i="5"/>
  <c r="L216" i="5" s="1"/>
  <c r="O216" i="5" s="1"/>
  <c r="N200" i="5"/>
  <c r="J200" i="5"/>
  <c r="L200" i="5" s="1"/>
  <c r="O200" i="5" s="1"/>
  <c r="J225" i="5"/>
  <c r="L225" i="5" s="1"/>
  <c r="N225" i="5"/>
  <c r="J208" i="5"/>
  <c r="L208" i="5" s="1"/>
  <c r="N208" i="5"/>
  <c r="N233" i="5"/>
  <c r="J233" i="5"/>
  <c r="L233" i="5" s="1"/>
  <c r="O233" i="5" s="1"/>
  <c r="N224" i="5"/>
  <c r="J224" i="5"/>
  <c r="L224" i="5" s="1"/>
  <c r="O224" i="5" s="1"/>
  <c r="N268" i="5"/>
  <c r="J268" i="5"/>
  <c r="L268" i="5" s="1"/>
  <c r="N199" i="5"/>
  <c r="J199" i="5"/>
  <c r="L199" i="5" s="1"/>
  <c r="O199" i="5" s="1"/>
  <c r="J207" i="5"/>
  <c r="L207" i="5" s="1"/>
  <c r="N207" i="5"/>
  <c r="N215" i="5"/>
  <c r="J215" i="5"/>
  <c r="L215" i="5" s="1"/>
  <c r="O215" i="5" s="1"/>
  <c r="N267" i="5"/>
  <c r="J267" i="5"/>
  <c r="L267" i="5" s="1"/>
  <c r="N223" i="5"/>
  <c r="J223" i="5"/>
  <c r="L223" i="5" s="1"/>
  <c r="O223" i="5" s="1"/>
  <c r="N206" i="5"/>
  <c r="J206" i="5"/>
  <c r="L206" i="5" s="1"/>
  <c r="O206" i="5" s="1"/>
  <c r="N214" i="5"/>
  <c r="J214" i="5"/>
  <c r="L214" i="5" s="1"/>
  <c r="O214" i="5" s="1"/>
  <c r="N198" i="5"/>
  <c r="J198" i="5"/>
  <c r="L198" i="5" s="1"/>
  <c r="N241" i="5"/>
  <c r="J241" i="5"/>
  <c r="L241" i="5" s="1"/>
  <c r="O241" i="5" s="1"/>
  <c r="J226" i="5"/>
  <c r="L226" i="5" s="1"/>
  <c r="N226" i="5"/>
  <c r="N249" i="5"/>
  <c r="J249" i="5"/>
  <c r="L249" i="5" s="1"/>
  <c r="O249" i="5" s="1"/>
  <c r="N217" i="5"/>
  <c r="J217" i="5"/>
  <c r="L217" i="5" s="1"/>
  <c r="J209" i="5"/>
  <c r="L209" i="5" s="1"/>
  <c r="N209" i="5"/>
  <c r="N256" i="5"/>
  <c r="J256" i="5"/>
  <c r="L256" i="5" s="1"/>
  <c r="O256" i="5" s="1"/>
  <c r="N248" i="5"/>
  <c r="J248" i="5"/>
  <c r="L248" i="5" s="1"/>
  <c r="O248" i="5" s="1"/>
  <c r="J240" i="5"/>
  <c r="L240" i="5" s="1"/>
  <c r="N240" i="5"/>
  <c r="N262" i="5"/>
  <c r="J262" i="5"/>
  <c r="L262" i="5" s="1"/>
  <c r="O262" i="5" s="1"/>
  <c r="J255" i="5"/>
  <c r="L255" i="5" s="1"/>
  <c r="N255" i="5"/>
  <c r="N247" i="5"/>
  <c r="J247" i="5"/>
  <c r="L247" i="5" s="1"/>
  <c r="O247" i="5" s="1"/>
  <c r="N254" i="5"/>
  <c r="J254" i="5"/>
  <c r="L254" i="5" s="1"/>
  <c r="J261" i="5"/>
  <c r="L261" i="5" s="1"/>
  <c r="N261" i="5"/>
  <c r="J239" i="5"/>
  <c r="L239" i="5" s="1"/>
  <c r="N239" i="5"/>
  <c r="N266" i="5"/>
  <c r="J266" i="5"/>
  <c r="L266" i="5" s="1"/>
  <c r="O266" i="5" s="1"/>
  <c r="N222" i="5"/>
  <c r="J222" i="5"/>
  <c r="L222" i="5" s="1"/>
  <c r="J205" i="5"/>
  <c r="L205" i="5" s="1"/>
  <c r="N205" i="5"/>
  <c r="J213" i="5"/>
  <c r="L213" i="5" s="1"/>
  <c r="N213" i="5"/>
  <c r="J238" i="5"/>
  <c r="L238" i="5" s="1"/>
  <c r="N238" i="5"/>
  <c r="J246" i="5"/>
  <c r="L246" i="5" s="1"/>
  <c r="N246" i="5"/>
  <c r="J253" i="5"/>
  <c r="L253" i="5" s="1"/>
  <c r="N253" i="5"/>
  <c r="N175" i="5"/>
  <c r="J175" i="5"/>
  <c r="L175" i="5" s="1"/>
  <c r="O175" i="5" s="1"/>
  <c r="J174" i="5"/>
  <c r="L174" i="5" s="1"/>
  <c r="N174" i="5"/>
  <c r="J191" i="5"/>
  <c r="L191" i="5" s="1"/>
  <c r="N191" i="5"/>
  <c r="N183" i="5"/>
  <c r="J183" i="5"/>
  <c r="L183" i="5" s="1"/>
  <c r="J181" i="5"/>
  <c r="L181" i="5" s="1"/>
  <c r="N181" i="5"/>
  <c r="N192" i="5"/>
  <c r="J192" i="5"/>
  <c r="L192" i="5" s="1"/>
  <c r="N190" i="5"/>
  <c r="J190" i="5"/>
  <c r="L190" i="5" s="1"/>
  <c r="N184" i="5"/>
  <c r="J184" i="5"/>
  <c r="L184" i="5" s="1"/>
  <c r="O184" i="5" s="1"/>
  <c r="N193" i="5"/>
  <c r="J193" i="5"/>
  <c r="L193" i="5" s="1"/>
  <c r="O193" i="5" s="1"/>
  <c r="J177" i="5"/>
  <c r="L177" i="5" s="1"/>
  <c r="N177" i="5"/>
  <c r="N189" i="5"/>
  <c r="J189" i="5"/>
  <c r="L189" i="5" s="1"/>
  <c r="N176" i="5"/>
  <c r="J176" i="5"/>
  <c r="L176" i="5" s="1"/>
  <c r="O176" i="5" s="1"/>
  <c r="N173" i="5"/>
  <c r="J173" i="5"/>
  <c r="L173" i="5" s="1"/>
  <c r="O173" i="5" s="1"/>
  <c r="N182" i="5"/>
  <c r="J182" i="5"/>
  <c r="L182" i="5" s="1"/>
  <c r="O102" i="5"/>
  <c r="J220" i="5"/>
  <c r="L220" i="5" s="1"/>
  <c r="N220" i="5"/>
  <c r="N252" i="5"/>
  <c r="J252" i="5"/>
  <c r="L252" i="5" s="1"/>
  <c r="N171" i="5"/>
  <c r="J171" i="5"/>
  <c r="L171" i="5" s="1"/>
  <c r="N188" i="5"/>
  <c r="J188" i="5"/>
  <c r="L188" i="5" s="1"/>
  <c r="N245" i="5"/>
  <c r="J245" i="5"/>
  <c r="L245" i="5" s="1"/>
  <c r="N237" i="5"/>
  <c r="J237" i="5"/>
  <c r="L237" i="5" s="1"/>
  <c r="N180" i="5"/>
  <c r="J180" i="5"/>
  <c r="L180" i="5" s="1"/>
  <c r="N221" i="5"/>
  <c r="J221" i="5"/>
  <c r="L221" i="5" s="1"/>
  <c r="N259" i="5"/>
  <c r="J259" i="5"/>
  <c r="L259" i="5" s="1"/>
  <c r="J196" i="5"/>
  <c r="L196" i="5" s="1"/>
  <c r="N196" i="5"/>
  <c r="J229" i="5"/>
  <c r="L229" i="5" s="1"/>
  <c r="N229" i="5"/>
  <c r="N212" i="5"/>
  <c r="J212" i="5"/>
  <c r="L212" i="5" s="1"/>
  <c r="N172" i="5"/>
  <c r="J172" i="5"/>
  <c r="L172" i="5" s="1"/>
  <c r="N204" i="5"/>
  <c r="J204" i="5"/>
  <c r="L204" i="5" s="1"/>
  <c r="N244" i="5"/>
  <c r="J244" i="5"/>
  <c r="L244" i="5" s="1"/>
  <c r="J163" i="5"/>
  <c r="L163" i="5" s="1"/>
  <c r="N163" i="5"/>
  <c r="J263" i="5"/>
  <c r="L263" i="5" s="1"/>
  <c r="N263" i="5"/>
  <c r="N158" i="5"/>
  <c r="J158" i="5"/>
  <c r="L158" i="5" s="1"/>
  <c r="N41" i="5"/>
  <c r="J41" i="5"/>
  <c r="L41" i="5" s="1"/>
  <c r="N165" i="5"/>
  <c r="J165" i="5"/>
  <c r="L165" i="5" s="1"/>
  <c r="N166" i="5"/>
  <c r="J166" i="5"/>
  <c r="L166" i="5" s="1"/>
  <c r="J231" i="5"/>
  <c r="L231" i="5" s="1"/>
  <c r="N231" i="5"/>
  <c r="J159" i="5"/>
  <c r="L159" i="5" s="1"/>
  <c r="N159" i="5"/>
  <c r="J164" i="5"/>
  <c r="L164" i="5" s="1"/>
  <c r="N164" i="5"/>
  <c r="N260" i="5"/>
  <c r="J260" i="5"/>
  <c r="L260" i="5" s="1"/>
  <c r="J232" i="5"/>
  <c r="L232" i="5" s="1"/>
  <c r="N232" i="5"/>
  <c r="J167" i="5"/>
  <c r="L167" i="5" s="1"/>
  <c r="N167" i="5"/>
  <c r="J197" i="5"/>
  <c r="L197" i="5" s="1"/>
  <c r="N197" i="5"/>
  <c r="J201" i="5"/>
  <c r="L201" i="5" s="1"/>
  <c r="N201" i="5"/>
  <c r="N168" i="5"/>
  <c r="J168" i="5"/>
  <c r="L168" i="5" s="1"/>
  <c r="J160" i="5"/>
  <c r="L160" i="5" s="1"/>
  <c r="N160" i="5"/>
  <c r="N234" i="5"/>
  <c r="J234" i="5"/>
  <c r="L234" i="5" s="1"/>
  <c r="J95" i="5"/>
  <c r="L95" i="5" s="1"/>
  <c r="N95" i="5"/>
  <c r="N157" i="5"/>
  <c r="J157" i="5"/>
  <c r="L157" i="5" s="1"/>
  <c r="N230" i="5"/>
  <c r="J230" i="5"/>
  <c r="L230" i="5" s="1"/>
  <c r="E450" i="5"/>
  <c r="E449" i="5"/>
  <c r="E445" i="5"/>
  <c r="F450" i="5"/>
  <c r="F449" i="5"/>
  <c r="F448" i="5"/>
  <c r="G448" i="5" s="1"/>
  <c r="E444" i="5"/>
  <c r="E442" i="5"/>
  <c r="F442" i="5"/>
  <c r="E441" i="5"/>
  <c r="E439" i="5"/>
  <c r="E438" i="5"/>
  <c r="E435" i="5"/>
  <c r="E436" i="5"/>
  <c r="E434" i="5"/>
  <c r="F435" i="5"/>
  <c r="F436" i="5"/>
  <c r="F438" i="5"/>
  <c r="F439" i="5"/>
  <c r="F441" i="5"/>
  <c r="F444" i="5"/>
  <c r="F445" i="5"/>
  <c r="F434" i="5"/>
  <c r="G434" i="5" s="1"/>
  <c r="E429" i="5"/>
  <c r="F428" i="5"/>
  <c r="G428" i="5" s="1"/>
  <c r="F429" i="5"/>
  <c r="F427" i="5"/>
  <c r="G427" i="5" s="1"/>
  <c r="E154" i="5"/>
  <c r="E153" i="5"/>
  <c r="E152" i="5"/>
  <c r="F152" i="5"/>
  <c r="E150" i="5"/>
  <c r="E149" i="5"/>
  <c r="E328" i="5"/>
  <c r="F329" i="5"/>
  <c r="G329" i="5" s="1"/>
  <c r="F330" i="5"/>
  <c r="G330" i="5" s="1"/>
  <c r="F332" i="5"/>
  <c r="G332" i="5" s="1"/>
  <c r="F333" i="5"/>
  <c r="G333" i="5" s="1"/>
  <c r="F328" i="5"/>
  <c r="F325" i="5"/>
  <c r="G325" i="5" s="1"/>
  <c r="F317" i="5"/>
  <c r="G317" i="5" s="1"/>
  <c r="F316" i="5"/>
  <c r="G316" i="5" s="1"/>
  <c r="F315" i="5"/>
  <c r="G315" i="5" s="1"/>
  <c r="F314" i="5"/>
  <c r="G314" i="5" s="1"/>
  <c r="F313" i="5"/>
  <c r="G313" i="5" s="1"/>
  <c r="F312" i="5"/>
  <c r="G312" i="5" s="1"/>
  <c r="F311" i="5"/>
  <c r="G311" i="5" s="1"/>
  <c r="F310" i="5"/>
  <c r="G310" i="5" s="1"/>
  <c r="F309" i="5"/>
  <c r="G309" i="5" s="1"/>
  <c r="F308" i="5"/>
  <c r="G308" i="5" s="1"/>
  <c r="F307" i="5"/>
  <c r="G307" i="5" s="1"/>
  <c r="F321" i="5"/>
  <c r="G321" i="5" s="1"/>
  <c r="F320" i="5"/>
  <c r="G320" i="5" s="1"/>
  <c r="F319" i="5"/>
  <c r="G319" i="5" s="1"/>
  <c r="F318" i="5"/>
  <c r="G318" i="5" s="1"/>
  <c r="E293" i="5"/>
  <c r="E281" i="5"/>
  <c r="E280" i="5"/>
  <c r="E279" i="5"/>
  <c r="E283" i="5"/>
  <c r="F276" i="5"/>
  <c r="G276" i="5" s="1"/>
  <c r="E92" i="5"/>
  <c r="E80" i="5"/>
  <c r="F93" i="5"/>
  <c r="G93" i="5" s="1"/>
  <c r="F94" i="5"/>
  <c r="G94" i="5" s="1"/>
  <c r="F97" i="5"/>
  <c r="G97" i="5" s="1"/>
  <c r="F98" i="5"/>
  <c r="G98" i="5" s="1"/>
  <c r="F99" i="5"/>
  <c r="G99" i="5" s="1"/>
  <c r="F100" i="5"/>
  <c r="G100" i="5" s="1"/>
  <c r="F92" i="5"/>
  <c r="G92" i="5" s="1"/>
  <c r="F89" i="5"/>
  <c r="G89" i="5" s="1"/>
  <c r="F88" i="5"/>
  <c r="G88" i="5" s="1"/>
  <c r="F87" i="5"/>
  <c r="G87" i="5" s="1"/>
  <c r="F86" i="5"/>
  <c r="G86" i="5" s="1"/>
  <c r="E77" i="5"/>
  <c r="E76" i="5"/>
  <c r="E75" i="5"/>
  <c r="E72" i="5"/>
  <c r="E69" i="5"/>
  <c r="E68" i="5"/>
  <c r="E67" i="5"/>
  <c r="E66" i="5"/>
  <c r="E58" i="5"/>
  <c r="F58" i="5"/>
  <c r="F67" i="5"/>
  <c r="F68" i="5"/>
  <c r="F69" i="5"/>
  <c r="F72" i="5"/>
  <c r="F75" i="5"/>
  <c r="F76" i="5"/>
  <c r="F77" i="5"/>
  <c r="F80" i="5"/>
  <c r="F81" i="5"/>
  <c r="G81" i="5" s="1"/>
  <c r="F384" i="5"/>
  <c r="G384" i="5" s="1"/>
  <c r="F385" i="5"/>
  <c r="G385" i="5" s="1"/>
  <c r="F386" i="5"/>
  <c r="G386" i="5" s="1"/>
  <c r="F387" i="5"/>
  <c r="G387" i="5" s="1"/>
  <c r="E363" i="5"/>
  <c r="F363" i="5"/>
  <c r="F353" i="5"/>
  <c r="G353" i="5" s="1"/>
  <c r="F354" i="5"/>
  <c r="G354" i="5" s="1"/>
  <c r="F355" i="5"/>
  <c r="G355" i="5" s="1"/>
  <c r="F356" i="5"/>
  <c r="G356" i="5" s="1"/>
  <c r="E365" i="5"/>
  <c r="E364" i="5"/>
  <c r="E362" i="5"/>
  <c r="E361" i="5"/>
  <c r="F368" i="5"/>
  <c r="G368" i="5" s="1"/>
  <c r="F369" i="5"/>
  <c r="G369" i="5" s="1"/>
  <c r="F370" i="5"/>
  <c r="G370" i="5" s="1"/>
  <c r="F371" i="5"/>
  <c r="G371" i="5" s="1"/>
  <c r="F373" i="5"/>
  <c r="G373" i="5" s="1"/>
  <c r="F374" i="5"/>
  <c r="G374" i="5" s="1"/>
  <c r="F375" i="5"/>
  <c r="G375" i="5" s="1"/>
  <c r="F376" i="5"/>
  <c r="G376" i="5" s="1"/>
  <c r="F362" i="5"/>
  <c r="F364" i="5"/>
  <c r="F365" i="5"/>
  <c r="F131" i="5"/>
  <c r="G131" i="5" s="1"/>
  <c r="F132" i="5"/>
  <c r="G132" i="5" s="1"/>
  <c r="F133" i="5"/>
  <c r="G133" i="5" s="1"/>
  <c r="F134" i="5"/>
  <c r="G134" i="5" s="1"/>
  <c r="F135" i="5"/>
  <c r="G135" i="5" s="1"/>
  <c r="F136" i="5"/>
  <c r="G136" i="5" s="1"/>
  <c r="F137" i="5"/>
  <c r="G137" i="5" s="1"/>
  <c r="F138" i="5"/>
  <c r="G138" i="5" s="1"/>
  <c r="F139" i="5"/>
  <c r="G139" i="5" s="1"/>
  <c r="F140" i="5"/>
  <c r="G140" i="5" s="1"/>
  <c r="F141" i="5"/>
  <c r="G141" i="5" s="1"/>
  <c r="F142" i="5"/>
  <c r="G142" i="5" s="1"/>
  <c r="F130" i="5"/>
  <c r="G130" i="5" s="1"/>
  <c r="F108" i="5"/>
  <c r="G108" i="5" s="1"/>
  <c r="F109" i="5"/>
  <c r="G109" i="5" s="1"/>
  <c r="F110" i="5"/>
  <c r="G110" i="5" s="1"/>
  <c r="F111" i="5"/>
  <c r="G111" i="5" s="1"/>
  <c r="F112" i="5"/>
  <c r="G112" i="5" s="1"/>
  <c r="F113" i="5"/>
  <c r="G113" i="5" s="1"/>
  <c r="F114" i="5"/>
  <c r="G114" i="5" s="1"/>
  <c r="F115" i="5"/>
  <c r="G115" i="5" s="1"/>
  <c r="F116" i="5"/>
  <c r="G116" i="5" s="1"/>
  <c r="F117" i="5"/>
  <c r="G117" i="5" s="1"/>
  <c r="F118" i="5"/>
  <c r="G118" i="5" s="1"/>
  <c r="F119" i="5"/>
  <c r="G119" i="5" s="1"/>
  <c r="F120" i="5"/>
  <c r="G120" i="5" s="1"/>
  <c r="F121" i="5"/>
  <c r="G121" i="5" s="1"/>
  <c r="F122" i="5"/>
  <c r="G122" i="5" s="1"/>
  <c r="F123" i="5"/>
  <c r="G123" i="5" s="1"/>
  <c r="F45" i="5"/>
  <c r="G45" i="5" s="1"/>
  <c r="A19" i="5"/>
  <c r="A20" i="5"/>
  <c r="E50" i="5"/>
  <c r="E49" i="5"/>
  <c r="F49" i="5"/>
  <c r="F50" i="5"/>
  <c r="F36" i="5"/>
  <c r="G36" i="5" s="1"/>
  <c r="E39" i="5"/>
  <c r="E34" i="5"/>
  <c r="E31" i="5"/>
  <c r="F31" i="5"/>
  <c r="E28" i="5"/>
  <c r="F28" i="5"/>
  <c r="E25" i="5"/>
  <c r="F25" i="5"/>
  <c r="E22" i="5"/>
  <c r="F22" i="5"/>
  <c r="E33" i="5"/>
  <c r="E30" i="5"/>
  <c r="E27" i="5"/>
  <c r="E24" i="5"/>
  <c r="E21" i="5"/>
  <c r="E18" i="5"/>
  <c r="F18" i="5"/>
  <c r="E17" i="5"/>
  <c r="F21" i="5"/>
  <c r="F24" i="5"/>
  <c r="F27" i="5"/>
  <c r="F30" i="5"/>
  <c r="F33" i="5"/>
  <c r="F34" i="5"/>
  <c r="F39" i="5"/>
  <c r="F40" i="5"/>
  <c r="G40" i="5" s="1"/>
  <c r="F42" i="5"/>
  <c r="G42" i="5" s="1"/>
  <c r="E417" i="5"/>
  <c r="E418" i="5" s="1"/>
  <c r="O222" i="5" l="1"/>
  <c r="O254" i="5"/>
  <c r="O217" i="5"/>
  <c r="O198" i="5"/>
  <c r="O267" i="5"/>
  <c r="O268" i="5"/>
  <c r="O172" i="5"/>
  <c r="O259" i="5"/>
  <c r="O245" i="5"/>
  <c r="O225" i="5"/>
  <c r="O208" i="5"/>
  <c r="O207" i="5"/>
  <c r="O237" i="5"/>
  <c r="O252" i="5"/>
  <c r="O226" i="5"/>
  <c r="O209" i="5"/>
  <c r="O255" i="5"/>
  <c r="O240" i="5"/>
  <c r="O239" i="5"/>
  <c r="O183" i="5"/>
  <c r="O261" i="5"/>
  <c r="O213" i="5"/>
  <c r="O205" i="5"/>
  <c r="O246" i="5"/>
  <c r="O238" i="5"/>
  <c r="O253" i="5"/>
  <c r="O189" i="5"/>
  <c r="O190" i="5"/>
  <c r="O244" i="5"/>
  <c r="O180" i="5"/>
  <c r="O171" i="5"/>
  <c r="O182" i="5"/>
  <c r="O192" i="5"/>
  <c r="O191" i="5"/>
  <c r="O177" i="5"/>
  <c r="O174" i="5"/>
  <c r="O181" i="5"/>
  <c r="O212" i="5"/>
  <c r="O221" i="5"/>
  <c r="O188" i="5"/>
  <c r="O157" i="5"/>
  <c r="O166" i="5"/>
  <c r="O234" i="5"/>
  <c r="O260" i="5"/>
  <c r="O41" i="5"/>
  <c r="O220" i="5"/>
  <c r="O204" i="5"/>
  <c r="O158" i="5"/>
  <c r="O163" i="5"/>
  <c r="O229" i="5"/>
  <c r="O230" i="5"/>
  <c r="O165" i="5"/>
  <c r="O196" i="5"/>
  <c r="O168" i="5"/>
  <c r="J375" i="5"/>
  <c r="L375" i="5" s="1"/>
  <c r="N375" i="5"/>
  <c r="N374" i="5"/>
  <c r="J374" i="5"/>
  <c r="L374" i="5" s="1"/>
  <c r="N309" i="5"/>
  <c r="J309" i="5"/>
  <c r="L309" i="5" s="1"/>
  <c r="O167" i="5"/>
  <c r="O159" i="5"/>
  <c r="N120" i="5"/>
  <c r="J120" i="5"/>
  <c r="L120" i="5" s="1"/>
  <c r="N112" i="5"/>
  <c r="J112" i="5"/>
  <c r="L112" i="5" s="1"/>
  <c r="N140" i="5"/>
  <c r="J140" i="5"/>
  <c r="L140" i="5" s="1"/>
  <c r="N132" i="5"/>
  <c r="J132" i="5"/>
  <c r="L132" i="5" s="1"/>
  <c r="N373" i="5"/>
  <c r="J373" i="5"/>
  <c r="L373" i="5" s="1"/>
  <c r="N386" i="5"/>
  <c r="J386" i="5"/>
  <c r="L386" i="5" s="1"/>
  <c r="N88" i="5"/>
  <c r="J88" i="5"/>
  <c r="L88" i="5" s="1"/>
  <c r="N93" i="5"/>
  <c r="J93" i="5"/>
  <c r="L93" i="5" s="1"/>
  <c r="N310" i="5"/>
  <c r="J310" i="5"/>
  <c r="L310" i="5" s="1"/>
  <c r="N325" i="5"/>
  <c r="J325" i="5"/>
  <c r="L325" i="5" s="1"/>
  <c r="N114" i="5"/>
  <c r="J114" i="5"/>
  <c r="L114" i="5" s="1"/>
  <c r="N113" i="5"/>
  <c r="J113" i="5"/>
  <c r="L113" i="5" s="1"/>
  <c r="N87" i="5"/>
  <c r="J87" i="5"/>
  <c r="L87" i="5" s="1"/>
  <c r="N119" i="5"/>
  <c r="J119" i="5"/>
  <c r="L119" i="5" s="1"/>
  <c r="N111" i="5"/>
  <c r="J111" i="5"/>
  <c r="L111" i="5" s="1"/>
  <c r="N139" i="5"/>
  <c r="J139" i="5"/>
  <c r="L139" i="5" s="1"/>
  <c r="N131" i="5"/>
  <c r="J131" i="5"/>
  <c r="L131" i="5" s="1"/>
  <c r="N371" i="5"/>
  <c r="J371" i="5"/>
  <c r="L371" i="5" s="1"/>
  <c r="N356" i="5"/>
  <c r="J356" i="5"/>
  <c r="L356" i="5" s="1"/>
  <c r="N385" i="5"/>
  <c r="J385" i="5"/>
  <c r="L385" i="5" s="1"/>
  <c r="N89" i="5"/>
  <c r="J89" i="5"/>
  <c r="L89" i="5" s="1"/>
  <c r="J318" i="5"/>
  <c r="L318" i="5" s="1"/>
  <c r="N318" i="5"/>
  <c r="N311" i="5"/>
  <c r="J311" i="5"/>
  <c r="L311" i="5" s="1"/>
  <c r="J434" i="5"/>
  <c r="L434" i="5" s="1"/>
  <c r="N434" i="5"/>
  <c r="O201" i="5"/>
  <c r="O232" i="5"/>
  <c r="N97" i="5"/>
  <c r="J97" i="5"/>
  <c r="L97" i="5" s="1"/>
  <c r="N428" i="5"/>
  <c r="J428" i="5"/>
  <c r="L428" i="5" s="1"/>
  <c r="N42" i="5"/>
  <c r="J42" i="5"/>
  <c r="L42" i="5" s="1"/>
  <c r="N138" i="5"/>
  <c r="J138" i="5"/>
  <c r="L138" i="5" s="1"/>
  <c r="J370" i="5"/>
  <c r="L370" i="5" s="1"/>
  <c r="N370" i="5"/>
  <c r="N355" i="5"/>
  <c r="J355" i="5"/>
  <c r="L355" i="5" s="1"/>
  <c r="J384" i="5"/>
  <c r="L384" i="5" s="1"/>
  <c r="N384" i="5"/>
  <c r="N92" i="5"/>
  <c r="J92" i="5"/>
  <c r="L92" i="5" s="1"/>
  <c r="N319" i="5"/>
  <c r="J319" i="5"/>
  <c r="L319" i="5" s="1"/>
  <c r="N312" i="5"/>
  <c r="J312" i="5"/>
  <c r="L312" i="5" s="1"/>
  <c r="N333" i="5"/>
  <c r="J333" i="5"/>
  <c r="L333" i="5" s="1"/>
  <c r="J448" i="5"/>
  <c r="L448" i="5" s="1"/>
  <c r="N448" i="5"/>
  <c r="J122" i="5"/>
  <c r="L122" i="5" s="1"/>
  <c r="N122" i="5"/>
  <c r="N86" i="5"/>
  <c r="J86" i="5"/>
  <c r="L86" i="5" s="1"/>
  <c r="N133" i="5"/>
  <c r="J133" i="5"/>
  <c r="L133" i="5" s="1"/>
  <c r="N94" i="5"/>
  <c r="J94" i="5"/>
  <c r="L94" i="5" s="1"/>
  <c r="J118" i="5"/>
  <c r="L118" i="5" s="1"/>
  <c r="N118" i="5"/>
  <c r="N117" i="5"/>
  <c r="J117" i="5"/>
  <c r="L117" i="5" s="1"/>
  <c r="N109" i="5"/>
  <c r="J109" i="5"/>
  <c r="L109" i="5" s="1"/>
  <c r="N137" i="5"/>
  <c r="J137" i="5"/>
  <c r="L137" i="5" s="1"/>
  <c r="N369" i="5"/>
  <c r="J369" i="5"/>
  <c r="L369" i="5" s="1"/>
  <c r="N354" i="5"/>
  <c r="J354" i="5"/>
  <c r="L354" i="5" s="1"/>
  <c r="J81" i="5"/>
  <c r="L81" i="5" s="1"/>
  <c r="N81" i="5"/>
  <c r="N100" i="5"/>
  <c r="J100" i="5"/>
  <c r="L100" i="5" s="1"/>
  <c r="N276" i="5"/>
  <c r="J276" i="5"/>
  <c r="L276" i="5" s="1"/>
  <c r="N320" i="5"/>
  <c r="J320" i="5"/>
  <c r="L320" i="5" s="1"/>
  <c r="N313" i="5"/>
  <c r="J313" i="5"/>
  <c r="L313" i="5" s="1"/>
  <c r="N332" i="5"/>
  <c r="J332" i="5"/>
  <c r="L332" i="5" s="1"/>
  <c r="O160" i="5"/>
  <c r="O263" i="5"/>
  <c r="N134" i="5"/>
  <c r="J134" i="5"/>
  <c r="L134" i="5" s="1"/>
  <c r="N308" i="5"/>
  <c r="J308" i="5"/>
  <c r="L308" i="5" s="1"/>
  <c r="N121" i="5"/>
  <c r="J121" i="5"/>
  <c r="L121" i="5" s="1"/>
  <c r="N387" i="5"/>
  <c r="J387" i="5"/>
  <c r="L387" i="5" s="1"/>
  <c r="N317" i="5"/>
  <c r="J317" i="5"/>
  <c r="L317" i="5" s="1"/>
  <c r="J110" i="5"/>
  <c r="L110" i="5" s="1"/>
  <c r="N110" i="5"/>
  <c r="J45" i="5"/>
  <c r="L45" i="5" s="1"/>
  <c r="N45" i="5"/>
  <c r="N116" i="5"/>
  <c r="J116" i="5"/>
  <c r="L116" i="5" s="1"/>
  <c r="N108" i="5"/>
  <c r="J108" i="5"/>
  <c r="L108" i="5" s="1"/>
  <c r="N136" i="5"/>
  <c r="J136" i="5"/>
  <c r="L136" i="5" s="1"/>
  <c r="N368" i="5"/>
  <c r="J368" i="5"/>
  <c r="L368" i="5" s="1"/>
  <c r="J353" i="5"/>
  <c r="L353" i="5" s="1"/>
  <c r="N353" i="5"/>
  <c r="N99" i="5"/>
  <c r="J99" i="5"/>
  <c r="L99" i="5" s="1"/>
  <c r="N321" i="5"/>
  <c r="J321" i="5"/>
  <c r="L321" i="5" s="1"/>
  <c r="N314" i="5"/>
  <c r="J314" i="5"/>
  <c r="L314" i="5" s="1"/>
  <c r="N330" i="5"/>
  <c r="J330" i="5"/>
  <c r="L330" i="5" s="1"/>
  <c r="O95" i="5"/>
  <c r="N142" i="5"/>
  <c r="J142" i="5"/>
  <c r="L142" i="5" s="1"/>
  <c r="N316" i="5"/>
  <c r="J316" i="5"/>
  <c r="L316" i="5" s="1"/>
  <c r="N141" i="5"/>
  <c r="J141" i="5"/>
  <c r="L141" i="5" s="1"/>
  <c r="N40" i="5"/>
  <c r="J40" i="5"/>
  <c r="L40" i="5" s="1"/>
  <c r="N36" i="5"/>
  <c r="J36" i="5"/>
  <c r="L36" i="5" s="1"/>
  <c r="N123" i="5"/>
  <c r="J123" i="5"/>
  <c r="L123" i="5" s="1"/>
  <c r="N115" i="5"/>
  <c r="J115" i="5"/>
  <c r="L115" i="5" s="1"/>
  <c r="N130" i="5"/>
  <c r="J130" i="5"/>
  <c r="L130" i="5" s="1"/>
  <c r="N135" i="5"/>
  <c r="J135" i="5"/>
  <c r="L135" i="5" s="1"/>
  <c r="N376" i="5"/>
  <c r="J376" i="5"/>
  <c r="L376" i="5" s="1"/>
  <c r="N98" i="5"/>
  <c r="J98" i="5"/>
  <c r="L98" i="5" s="1"/>
  <c r="N307" i="5"/>
  <c r="J307" i="5"/>
  <c r="L307" i="5" s="1"/>
  <c r="N315" i="5"/>
  <c r="J315" i="5"/>
  <c r="L315" i="5" s="1"/>
  <c r="N329" i="5"/>
  <c r="J329" i="5"/>
  <c r="L329" i="5" s="1"/>
  <c r="N427" i="5"/>
  <c r="J427" i="5"/>
  <c r="L427" i="5" s="1"/>
  <c r="O197" i="5"/>
  <c r="O164" i="5"/>
  <c r="O231" i="5"/>
  <c r="G450" i="5"/>
  <c r="G68" i="5"/>
  <c r="G444" i="5"/>
  <c r="G445" i="5"/>
  <c r="G441" i="5"/>
  <c r="G449" i="5"/>
  <c r="G438" i="5"/>
  <c r="G436" i="5"/>
  <c r="G442" i="5"/>
  <c r="G439" i="5"/>
  <c r="G435" i="5"/>
  <c r="G429" i="5"/>
  <c r="G152" i="5"/>
  <c r="G328" i="5"/>
  <c r="G69" i="5"/>
  <c r="G77" i="5"/>
  <c r="G80" i="5"/>
  <c r="G72" i="5"/>
  <c r="G76" i="5"/>
  <c r="G75" i="5"/>
  <c r="G67" i="5"/>
  <c r="G58" i="5"/>
  <c r="G363" i="5"/>
  <c r="G365" i="5"/>
  <c r="G364" i="5"/>
  <c r="G362" i="5"/>
  <c r="G25" i="5"/>
  <c r="G31" i="5"/>
  <c r="G21" i="5"/>
  <c r="G50" i="5"/>
  <c r="G49" i="5"/>
  <c r="G39" i="5"/>
  <c r="G34" i="5"/>
  <c r="G28" i="5"/>
  <c r="G22" i="5"/>
  <c r="G33" i="5"/>
  <c r="G30" i="5"/>
  <c r="G27" i="5"/>
  <c r="G24" i="5"/>
  <c r="G18" i="5"/>
  <c r="A14" i="5"/>
  <c r="A15" i="5"/>
  <c r="A16" i="5"/>
  <c r="O321" i="5" l="1"/>
  <c r="O136" i="5"/>
  <c r="O308" i="5"/>
  <c r="O313" i="5"/>
  <c r="O109" i="5"/>
  <c r="O133" i="5"/>
  <c r="O333" i="5"/>
  <c r="O42" i="5"/>
  <c r="O385" i="5"/>
  <c r="O139" i="5"/>
  <c r="O330" i="5"/>
  <c r="O116" i="5"/>
  <c r="O387" i="5"/>
  <c r="O276" i="5"/>
  <c r="O369" i="5"/>
  <c r="O319" i="5"/>
  <c r="O97" i="5"/>
  <c r="O371" i="5"/>
  <c r="O119" i="5"/>
  <c r="O325" i="5"/>
  <c r="O386" i="5"/>
  <c r="O112" i="5"/>
  <c r="O314" i="5"/>
  <c r="O368" i="5"/>
  <c r="O121" i="5"/>
  <c r="O332" i="5"/>
  <c r="O100" i="5"/>
  <c r="O137" i="5"/>
  <c r="O94" i="5"/>
  <c r="O92" i="5"/>
  <c r="O138" i="5"/>
  <c r="O89" i="5"/>
  <c r="O131" i="5"/>
  <c r="O87" i="5"/>
  <c r="O310" i="5"/>
  <c r="O114" i="5"/>
  <c r="O88" i="5"/>
  <c r="O140" i="5"/>
  <c r="O309" i="5"/>
  <c r="O374" i="5"/>
  <c r="O373" i="5"/>
  <c r="O99" i="5"/>
  <c r="O108" i="5"/>
  <c r="O317" i="5"/>
  <c r="O134" i="5"/>
  <c r="O320" i="5"/>
  <c r="O354" i="5"/>
  <c r="O117" i="5"/>
  <c r="O86" i="5"/>
  <c r="O312" i="5"/>
  <c r="O355" i="5"/>
  <c r="O428" i="5"/>
  <c r="O311" i="5"/>
  <c r="O356" i="5"/>
  <c r="O111" i="5"/>
  <c r="O113" i="5"/>
  <c r="O93" i="5"/>
  <c r="O132" i="5"/>
  <c r="O120" i="5"/>
  <c r="N33" i="5"/>
  <c r="J33" i="5"/>
  <c r="L33" i="5" s="1"/>
  <c r="N22" i="5"/>
  <c r="J22" i="5"/>
  <c r="L22" i="5" s="1"/>
  <c r="N25" i="5"/>
  <c r="J25" i="5"/>
  <c r="L25" i="5" s="1"/>
  <c r="J75" i="5"/>
  <c r="L75" i="5" s="1"/>
  <c r="N75" i="5"/>
  <c r="J429" i="5"/>
  <c r="L429" i="5" s="1"/>
  <c r="N429" i="5"/>
  <c r="J445" i="5"/>
  <c r="L445" i="5" s="1"/>
  <c r="N445" i="5"/>
  <c r="O307" i="5"/>
  <c r="O130" i="5"/>
  <c r="O40" i="5"/>
  <c r="N67" i="5"/>
  <c r="J67" i="5"/>
  <c r="L67" i="5" s="1"/>
  <c r="N28" i="5"/>
  <c r="J28" i="5"/>
  <c r="L28" i="5" s="1"/>
  <c r="N34" i="5"/>
  <c r="J34" i="5"/>
  <c r="L34" i="5" s="1"/>
  <c r="N364" i="5"/>
  <c r="J364" i="5"/>
  <c r="L364" i="5" s="1"/>
  <c r="N72" i="5"/>
  <c r="J72" i="5"/>
  <c r="L72" i="5" s="1"/>
  <c r="N439" i="5"/>
  <c r="J439" i="5"/>
  <c r="L439" i="5" s="1"/>
  <c r="N68" i="5"/>
  <c r="J68" i="5"/>
  <c r="L68" i="5" s="1"/>
  <c r="O427" i="5"/>
  <c r="O98" i="5"/>
  <c r="O115" i="5"/>
  <c r="O141" i="5"/>
  <c r="O353" i="5"/>
  <c r="O118" i="5"/>
  <c r="O122" i="5"/>
  <c r="O370" i="5"/>
  <c r="O318" i="5"/>
  <c r="N152" i="5"/>
  <c r="J152" i="5"/>
  <c r="L152" i="5" s="1"/>
  <c r="N435" i="5"/>
  <c r="J435" i="5"/>
  <c r="L435" i="5" s="1"/>
  <c r="N441" i="5"/>
  <c r="J441" i="5"/>
  <c r="L441" i="5" s="1"/>
  <c r="N76" i="5"/>
  <c r="J76" i="5"/>
  <c r="L76" i="5" s="1"/>
  <c r="N39" i="5"/>
  <c r="J39" i="5"/>
  <c r="L39" i="5" s="1"/>
  <c r="J80" i="5"/>
  <c r="L80" i="5" s="1"/>
  <c r="N80" i="5"/>
  <c r="N24" i="5"/>
  <c r="J24" i="5"/>
  <c r="L24" i="5" s="1"/>
  <c r="N363" i="5"/>
  <c r="J363" i="5"/>
  <c r="L363" i="5" s="1"/>
  <c r="J77" i="5"/>
  <c r="L77" i="5" s="1"/>
  <c r="N77" i="5"/>
  <c r="N436" i="5"/>
  <c r="J436" i="5"/>
  <c r="L436" i="5" s="1"/>
  <c r="O329" i="5"/>
  <c r="O376" i="5"/>
  <c r="O123" i="5"/>
  <c r="O316" i="5"/>
  <c r="O45" i="5"/>
  <c r="O448" i="5"/>
  <c r="N362" i="5"/>
  <c r="J362" i="5"/>
  <c r="L362" i="5" s="1"/>
  <c r="N365" i="5"/>
  <c r="J365" i="5"/>
  <c r="L365" i="5" s="1"/>
  <c r="N450" i="5"/>
  <c r="J450" i="5"/>
  <c r="L450" i="5" s="1"/>
  <c r="J438" i="5"/>
  <c r="L438" i="5" s="1"/>
  <c r="N438" i="5"/>
  <c r="J31" i="5"/>
  <c r="L31" i="5" s="1"/>
  <c r="N31" i="5"/>
  <c r="N444" i="5"/>
  <c r="J444" i="5"/>
  <c r="L444" i="5" s="1"/>
  <c r="N442" i="5"/>
  <c r="J442" i="5"/>
  <c r="L442" i="5" s="1"/>
  <c r="N49" i="5"/>
  <c r="J49" i="5"/>
  <c r="L49" i="5" s="1"/>
  <c r="N27" i="5"/>
  <c r="J27" i="5"/>
  <c r="L27" i="5" s="1"/>
  <c r="N50" i="5"/>
  <c r="J50" i="5"/>
  <c r="L50" i="5" s="1"/>
  <c r="N69" i="5"/>
  <c r="J69" i="5"/>
  <c r="L69" i="5" s="1"/>
  <c r="N30" i="5"/>
  <c r="J30" i="5"/>
  <c r="L30" i="5" s="1"/>
  <c r="N21" i="5"/>
  <c r="J21" i="5"/>
  <c r="L21" i="5" s="1"/>
  <c r="N58" i="5"/>
  <c r="J58" i="5"/>
  <c r="L58" i="5" s="1"/>
  <c r="N328" i="5"/>
  <c r="J328" i="5"/>
  <c r="L328" i="5" s="1"/>
  <c r="J449" i="5"/>
  <c r="L449" i="5" s="1"/>
  <c r="N449" i="5"/>
  <c r="O315" i="5"/>
  <c r="O135" i="5"/>
  <c r="O36" i="5"/>
  <c r="O142" i="5"/>
  <c r="O110" i="5"/>
  <c r="O81" i="5"/>
  <c r="O384" i="5"/>
  <c r="O434" i="5"/>
  <c r="O375" i="5"/>
  <c r="O328" i="5" l="1"/>
  <c r="O69" i="5"/>
  <c r="O442" i="5"/>
  <c r="O450" i="5"/>
  <c r="O363" i="5"/>
  <c r="O76" i="5"/>
  <c r="O25" i="5"/>
  <c r="O21" i="5"/>
  <c r="O27" i="5"/>
  <c r="O362" i="5"/>
  <c r="O436" i="5"/>
  <c r="O364" i="5"/>
  <c r="P83" i="5"/>
  <c r="O24" i="5"/>
  <c r="O22" i="5"/>
  <c r="O439" i="5"/>
  <c r="O28" i="5"/>
  <c r="O68" i="5"/>
  <c r="O34" i="5"/>
  <c r="O441" i="5"/>
  <c r="O435" i="5"/>
  <c r="O33" i="5"/>
  <c r="O30" i="5"/>
  <c r="O49" i="5"/>
  <c r="O39" i="5"/>
  <c r="O72" i="5"/>
  <c r="O67" i="5"/>
  <c r="O152" i="5"/>
  <c r="O445" i="5"/>
  <c r="O31" i="5"/>
  <c r="O80" i="5"/>
  <c r="O438" i="5"/>
  <c r="O77" i="5"/>
  <c r="O429" i="5"/>
  <c r="P425" i="5" s="1"/>
  <c r="O449" i="5"/>
  <c r="O75" i="5"/>
  <c r="O58" i="5"/>
  <c r="O50" i="5"/>
  <c r="O444" i="5"/>
  <c r="O365" i="5"/>
  <c r="P431" i="5" l="1"/>
  <c r="F396" i="5"/>
  <c r="G396" i="5" s="1"/>
  <c r="F395" i="5"/>
  <c r="G395" i="5" s="1"/>
  <c r="F394" i="5"/>
  <c r="G394" i="5" s="1"/>
  <c r="F391" i="5"/>
  <c r="G391" i="5" s="1"/>
  <c r="F383" i="5"/>
  <c r="G383" i="5" s="1"/>
  <c r="F380" i="5"/>
  <c r="G380" i="5" s="1"/>
  <c r="N380" i="5" l="1"/>
  <c r="J380" i="5"/>
  <c r="L380" i="5" s="1"/>
  <c r="N383" i="5"/>
  <c r="J383" i="5"/>
  <c r="L383" i="5" s="1"/>
  <c r="N391" i="5"/>
  <c r="J391" i="5"/>
  <c r="L391" i="5" s="1"/>
  <c r="J396" i="5"/>
  <c r="L396" i="5" s="1"/>
  <c r="N396" i="5"/>
  <c r="N394" i="5"/>
  <c r="J394" i="5"/>
  <c r="L394" i="5" s="1"/>
  <c r="N395" i="5"/>
  <c r="J395" i="5"/>
  <c r="L395" i="5" s="1"/>
  <c r="O391" i="5" l="1"/>
  <c r="O395" i="5"/>
  <c r="O394" i="5"/>
  <c r="O380" i="5"/>
  <c r="O383" i="5"/>
  <c r="O396" i="5"/>
  <c r="P378" i="5" l="1"/>
  <c r="P389" i="5"/>
  <c r="F401" i="5"/>
  <c r="G401" i="5" s="1"/>
  <c r="F402" i="5"/>
  <c r="G402" i="5" s="1"/>
  <c r="N402" i="5" l="1"/>
  <c r="J402" i="5"/>
  <c r="L402" i="5" s="1"/>
  <c r="N401" i="5"/>
  <c r="J401" i="5"/>
  <c r="L401" i="5" s="1"/>
  <c r="F352" i="5"/>
  <c r="G352" i="5" s="1"/>
  <c r="F351" i="5"/>
  <c r="G351" i="5" s="1"/>
  <c r="O401" i="5" l="1"/>
  <c r="N351" i="5"/>
  <c r="J351" i="5"/>
  <c r="L351" i="5" s="1"/>
  <c r="N352" i="5"/>
  <c r="J352" i="5"/>
  <c r="L352" i="5" s="1"/>
  <c r="O352" i="5" s="1"/>
  <c r="O402" i="5"/>
  <c r="B9" i="5"/>
  <c r="B8" i="5"/>
  <c r="B7" i="5"/>
  <c r="A8" i="5"/>
  <c r="A7" i="5"/>
  <c r="O351" i="5" l="1"/>
  <c r="P348" i="5" s="1"/>
  <c r="F129" i="5" l="1"/>
  <c r="G129" i="5" s="1"/>
  <c r="F280" i="5"/>
  <c r="G280" i="5" s="1"/>
  <c r="F153" i="5"/>
  <c r="F406" i="5"/>
  <c r="G406" i="5" s="1"/>
  <c r="F407" i="5"/>
  <c r="G407" i="5" s="1"/>
  <c r="F410" i="5"/>
  <c r="G410" i="5" s="1"/>
  <c r="F411" i="5"/>
  <c r="G411" i="5" s="1"/>
  <c r="F412" i="5"/>
  <c r="G412" i="5" s="1"/>
  <c r="F415" i="5"/>
  <c r="G415" i="5" s="1"/>
  <c r="F417" i="5"/>
  <c r="F418" i="5"/>
  <c r="F405" i="5"/>
  <c r="G405" i="5" s="1"/>
  <c r="N407" i="5" l="1"/>
  <c r="J407" i="5"/>
  <c r="L407" i="5" s="1"/>
  <c r="J412" i="5"/>
  <c r="L412" i="5" s="1"/>
  <c r="N412" i="5"/>
  <c r="N405" i="5"/>
  <c r="J405" i="5"/>
  <c r="L405" i="5" s="1"/>
  <c r="O405" i="5" s="1"/>
  <c r="N410" i="5"/>
  <c r="J410" i="5"/>
  <c r="L410" i="5" s="1"/>
  <c r="N280" i="5"/>
  <c r="J280" i="5"/>
  <c r="L280" i="5" s="1"/>
  <c r="N411" i="5"/>
  <c r="J411" i="5"/>
  <c r="L411" i="5" s="1"/>
  <c r="J406" i="5"/>
  <c r="L406" i="5" s="1"/>
  <c r="N406" i="5"/>
  <c r="N415" i="5"/>
  <c r="J415" i="5"/>
  <c r="L415" i="5" s="1"/>
  <c r="N129" i="5"/>
  <c r="J129" i="5"/>
  <c r="L129" i="5" s="1"/>
  <c r="G417" i="5"/>
  <c r="G418" i="5"/>
  <c r="G153" i="5"/>
  <c r="O410" i="5" l="1"/>
  <c r="O129" i="5"/>
  <c r="O415" i="5"/>
  <c r="O280" i="5"/>
  <c r="O407" i="5"/>
  <c r="O412" i="5"/>
  <c r="N153" i="5"/>
  <c r="J153" i="5"/>
  <c r="L153" i="5" s="1"/>
  <c r="O411" i="5"/>
  <c r="N417" i="5"/>
  <c r="J417" i="5"/>
  <c r="L417" i="5" s="1"/>
  <c r="O406" i="5"/>
  <c r="N418" i="5"/>
  <c r="J418" i="5"/>
  <c r="L418" i="5" s="1"/>
  <c r="O417" i="5" l="1"/>
  <c r="O153" i="5"/>
  <c r="O418" i="5"/>
  <c r="F287" i="5"/>
  <c r="G287" i="5" s="1"/>
  <c r="F339" i="5"/>
  <c r="G339" i="5" s="1"/>
  <c r="F340" i="5"/>
  <c r="G340" i="5" s="1"/>
  <c r="F341" i="5"/>
  <c r="G341" i="5" s="1"/>
  <c r="F342" i="5"/>
  <c r="G342" i="5" s="1"/>
  <c r="F343" i="5"/>
  <c r="G343" i="5" s="1"/>
  <c r="F346" i="5"/>
  <c r="G346" i="5" s="1"/>
  <c r="P398" i="5" l="1"/>
  <c r="N343" i="5"/>
  <c r="J343" i="5"/>
  <c r="L343" i="5" s="1"/>
  <c r="N342" i="5"/>
  <c r="J342" i="5"/>
  <c r="L342" i="5" s="1"/>
  <c r="N341" i="5"/>
  <c r="J341" i="5"/>
  <c r="L341" i="5" s="1"/>
  <c r="N340" i="5"/>
  <c r="J340" i="5"/>
  <c r="L340" i="5" s="1"/>
  <c r="J339" i="5"/>
  <c r="L339" i="5" s="1"/>
  <c r="N339" i="5"/>
  <c r="N346" i="5"/>
  <c r="J346" i="5"/>
  <c r="L346" i="5" s="1"/>
  <c r="N287" i="5"/>
  <c r="J287" i="5"/>
  <c r="L287" i="5" s="1"/>
  <c r="F423" i="5"/>
  <c r="G423" i="5" s="1"/>
  <c r="F367" i="5"/>
  <c r="G367" i="5" s="1"/>
  <c r="F361" i="5"/>
  <c r="F338" i="5"/>
  <c r="G338" i="5" s="1"/>
  <c r="F324" i="5"/>
  <c r="G324" i="5" s="1"/>
  <c r="F304" i="5"/>
  <c r="G304" i="5" s="1"/>
  <c r="F301" i="5"/>
  <c r="G301" i="5" s="1"/>
  <c r="F296" i="5"/>
  <c r="G296" i="5" s="1"/>
  <c r="F293" i="5"/>
  <c r="F290" i="5"/>
  <c r="G290" i="5" s="1"/>
  <c r="F286" i="5"/>
  <c r="G286" i="5" s="1"/>
  <c r="F283" i="5"/>
  <c r="G283" i="5" s="1"/>
  <c r="F281" i="5"/>
  <c r="G281" i="5" s="1"/>
  <c r="F279" i="5"/>
  <c r="G279" i="5" s="1"/>
  <c r="F275" i="5"/>
  <c r="G275" i="5" s="1"/>
  <c r="F272" i="5"/>
  <c r="F271" i="5"/>
  <c r="F270" i="5"/>
  <c r="G270" i="5" s="1"/>
  <c r="F154" i="5"/>
  <c r="F151" i="5"/>
  <c r="F150" i="5"/>
  <c r="F149" i="5"/>
  <c r="F126" i="5"/>
  <c r="G126" i="5" s="1"/>
  <c r="F107" i="5"/>
  <c r="G107" i="5" s="1"/>
  <c r="F66" i="5"/>
  <c r="F61" i="5"/>
  <c r="F55" i="5"/>
  <c r="G55" i="5" s="1"/>
  <c r="F48" i="5"/>
  <c r="G48" i="5" s="1"/>
  <c r="F17" i="5"/>
  <c r="A5" i="5"/>
  <c r="D7" i="1"/>
  <c r="D6" i="1"/>
  <c r="C9" i="1" s="1"/>
  <c r="D5" i="1"/>
  <c r="O287" i="5" l="1"/>
  <c r="O341" i="5"/>
  <c r="O340" i="5"/>
  <c r="O346" i="5"/>
  <c r="O342" i="5"/>
  <c r="O343" i="5"/>
  <c r="N107" i="5"/>
  <c r="J107" i="5"/>
  <c r="L107" i="5" s="1"/>
  <c r="J275" i="5"/>
  <c r="L275" i="5" s="1"/>
  <c r="N275" i="5"/>
  <c r="N301" i="5"/>
  <c r="J301" i="5"/>
  <c r="L301" i="5" s="1"/>
  <c r="N290" i="5"/>
  <c r="J290" i="5"/>
  <c r="L290" i="5" s="1"/>
  <c r="N296" i="5"/>
  <c r="J296" i="5"/>
  <c r="L296" i="5" s="1"/>
  <c r="N279" i="5"/>
  <c r="J279" i="5"/>
  <c r="L279" i="5" s="1"/>
  <c r="J304" i="5"/>
  <c r="L304" i="5" s="1"/>
  <c r="N304" i="5"/>
  <c r="J423" i="5"/>
  <c r="L423" i="5" s="1"/>
  <c r="N423" i="5"/>
  <c r="N126" i="5"/>
  <c r="J126" i="5"/>
  <c r="L126" i="5" s="1"/>
  <c r="N281" i="5"/>
  <c r="J281" i="5"/>
  <c r="L281" i="5" s="1"/>
  <c r="N324" i="5"/>
  <c r="J324" i="5"/>
  <c r="L324" i="5" s="1"/>
  <c r="N270" i="5"/>
  <c r="J270" i="5"/>
  <c r="L270" i="5" s="1"/>
  <c r="N48" i="5"/>
  <c r="J48" i="5"/>
  <c r="L48" i="5" s="1"/>
  <c r="N283" i="5"/>
  <c r="J283" i="5"/>
  <c r="L283" i="5" s="1"/>
  <c r="N338" i="5"/>
  <c r="J338" i="5"/>
  <c r="L338" i="5" s="1"/>
  <c r="N367" i="5"/>
  <c r="J367" i="5"/>
  <c r="L367" i="5" s="1"/>
  <c r="N55" i="5"/>
  <c r="J55" i="5"/>
  <c r="L55" i="5" s="1"/>
  <c r="N286" i="5"/>
  <c r="J286" i="5"/>
  <c r="L286" i="5" s="1"/>
  <c r="O339" i="5"/>
  <c r="G66" i="5"/>
  <c r="G154" i="5"/>
  <c r="G361" i="5"/>
  <c r="G61" i="5"/>
  <c r="G272" i="5"/>
  <c r="G17" i="5"/>
  <c r="G293" i="5"/>
  <c r="G271" i="5"/>
  <c r="G149" i="5"/>
  <c r="G150" i="5"/>
  <c r="G151" i="5"/>
  <c r="O338" i="5" l="1"/>
  <c r="P335" i="5" s="1"/>
  <c r="O324" i="5"/>
  <c r="O301" i="5"/>
  <c r="O55" i="5"/>
  <c r="O275" i="5"/>
  <c r="O290" i="5"/>
  <c r="O286" i="5"/>
  <c r="O48" i="5"/>
  <c r="N149" i="5"/>
  <c r="J149" i="5"/>
  <c r="L149" i="5" s="1"/>
  <c r="N271" i="5"/>
  <c r="J271" i="5"/>
  <c r="L271" i="5" s="1"/>
  <c r="O423" i="5"/>
  <c r="P420" i="5" s="1"/>
  <c r="N66" i="5"/>
  <c r="J66" i="5"/>
  <c r="L66" i="5" s="1"/>
  <c r="O283" i="5"/>
  <c r="O304" i="5"/>
  <c r="O281" i="5"/>
  <c r="O279" i="5"/>
  <c r="J154" i="5"/>
  <c r="L154" i="5" s="1"/>
  <c r="N154" i="5"/>
  <c r="N293" i="5"/>
  <c r="J293" i="5"/>
  <c r="L293" i="5" s="1"/>
  <c r="N272" i="5"/>
  <c r="J272" i="5"/>
  <c r="L272" i="5" s="1"/>
  <c r="J151" i="5"/>
  <c r="L151" i="5" s="1"/>
  <c r="N151" i="5"/>
  <c r="N61" i="5"/>
  <c r="J61" i="5"/>
  <c r="L61" i="5" s="1"/>
  <c r="O126" i="5"/>
  <c r="O296" i="5"/>
  <c r="O107" i="5"/>
  <c r="J150" i="5"/>
  <c r="L150" i="5" s="1"/>
  <c r="N150" i="5"/>
  <c r="N361" i="5"/>
  <c r="J361" i="5"/>
  <c r="L361" i="5" s="1"/>
  <c r="O367" i="5"/>
  <c r="O270" i="5"/>
  <c r="O149" i="5" l="1"/>
  <c r="O271" i="5"/>
  <c r="O361" i="5"/>
  <c r="O61" i="5"/>
  <c r="O151" i="5"/>
  <c r="O293" i="5"/>
  <c r="O66" i="5"/>
  <c r="P63" i="5" s="1"/>
  <c r="O154" i="5"/>
  <c r="O150" i="5"/>
  <c r="O272" i="5"/>
  <c r="P104" i="5"/>
  <c r="P358" i="5"/>
  <c r="N452" i="5"/>
  <c r="N454" i="5" s="1"/>
  <c r="J452" i="5"/>
  <c r="L452" i="5"/>
  <c r="P144" i="5" l="1"/>
  <c r="P14" i="5"/>
  <c r="P52" i="5"/>
  <c r="N453" i="5"/>
  <c r="O453" i="5" s="1"/>
  <c r="P453" i="5" s="1"/>
  <c r="D7" i="5" s="1"/>
  <c r="L454" i="5"/>
  <c r="O454" i="5" s="1"/>
  <c r="P454" i="5" s="1"/>
  <c r="D8" i="5" s="1"/>
  <c r="O452" i="5"/>
  <c r="N455" i="5" l="1"/>
  <c r="O455" i="5"/>
  <c r="P452" i="5" s="1"/>
  <c r="D6" i="5" s="1"/>
  <c r="L455" i="5"/>
  <c r="P455" i="5" l="1"/>
  <c r="D9" i="5" s="1"/>
  <c r="D11" i="1" s="1"/>
  <c r="A17" i="5" l="1"/>
  <c r="A18" i="5" l="1"/>
  <c r="A21" i="5" s="1"/>
  <c r="A22" i="5" l="1"/>
  <c r="A24" i="5" l="1"/>
  <c r="A25" i="5" s="1"/>
  <c r="A27" i="5" l="1"/>
  <c r="A28" i="5" l="1"/>
  <c r="A30" i="5" l="1"/>
  <c r="A31" i="5" s="1"/>
  <c r="A33" i="5" s="1"/>
  <c r="A34" i="5" s="1"/>
  <c r="A36" i="5" s="1"/>
  <c r="A39" i="5" l="1"/>
  <c r="A40" i="5" s="1"/>
  <c r="A41" i="5" s="1"/>
  <c r="A42" i="5" s="1"/>
  <c r="A45" i="5" s="1"/>
  <c r="A48" i="5" s="1"/>
  <c r="A49" i="5" s="1"/>
  <c r="A50" i="5" s="1"/>
  <c r="A55" i="5" s="1"/>
  <c r="A58" i="5" s="1"/>
  <c r="A61" i="5" s="1"/>
  <c r="A66" i="5" s="1"/>
  <c r="A67" i="5" s="1"/>
  <c r="A68" i="5" s="1"/>
  <c r="A69" i="5" s="1"/>
  <c r="A72" i="5" s="1"/>
  <c r="A75" i="5" s="1"/>
  <c r="A76" i="5" s="1"/>
  <c r="A77" i="5" s="1"/>
  <c r="A80" i="5" s="1"/>
  <c r="A81" i="5" s="1"/>
  <c r="A86" i="5" s="1"/>
  <c r="A87" i="5" s="1"/>
  <c r="A88" i="5" s="1"/>
  <c r="A89" i="5" s="1"/>
  <c r="A92" i="5" s="1"/>
  <c r="A93" i="5" s="1"/>
  <c r="A94" i="5" s="1"/>
  <c r="A95" i="5" s="1"/>
  <c r="A97" i="5" s="1"/>
  <c r="A98" i="5" s="1"/>
  <c r="A99" i="5" s="1"/>
  <c r="A100" i="5" s="1"/>
  <c r="A102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6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9" i="5" s="1"/>
  <c r="A150" i="5" s="1"/>
  <c r="A151" i="5" s="1"/>
  <c r="A152" i="5" s="1"/>
  <c r="A153" i="5" s="1"/>
  <c r="A154" i="5" s="1"/>
  <c r="A157" i="5" s="1"/>
  <c r="A158" i="5" s="1"/>
  <c r="A159" i="5" s="1"/>
  <c r="A160" i="5" s="1"/>
  <c r="A163" i="5" s="1"/>
  <c r="A164" i="5" s="1"/>
  <c r="A165" i="5" s="1"/>
  <c r="A166" i="5" s="1"/>
  <c r="A167" i="5" s="1"/>
  <c r="A168" i="5" s="1"/>
  <c r="A171" i="5" s="1"/>
  <c r="A172" i="5" s="1"/>
  <c r="A173" i="5" s="1"/>
  <c r="A174" i="5" s="1"/>
  <c r="A175" i="5" s="1"/>
  <c r="A176" i="5" s="1"/>
  <c r="A177" i="5" s="1"/>
  <c r="A180" i="5" s="1"/>
  <c r="A181" i="5" s="1"/>
  <c r="A182" i="5" s="1"/>
  <c r="A183" i="5" s="1"/>
  <c r="A184" i="5" s="1"/>
  <c r="A185" i="5" s="1"/>
  <c r="A188" i="5" s="1"/>
  <c r="A189" i="5" s="1"/>
  <c r="A190" i="5" s="1"/>
  <c r="A191" i="5" s="1"/>
  <c r="A192" i="5" s="1"/>
  <c r="A193" i="5" s="1"/>
  <c r="A196" i="5" s="1"/>
  <c r="A197" i="5" s="1"/>
  <c r="A198" i="5" s="1"/>
  <c r="A199" i="5" s="1"/>
  <c r="A200" i="5" s="1"/>
  <c r="A201" i="5" s="1"/>
  <c r="A204" i="5" s="1"/>
  <c r="A205" i="5" s="1"/>
  <c r="A206" i="5" s="1"/>
  <c r="A207" i="5" s="1"/>
  <c r="A208" i="5" s="1"/>
  <c r="A209" i="5" s="1"/>
  <c r="A212" i="5" s="1"/>
  <c r="A213" i="5" s="1"/>
  <c r="A214" i="5" s="1"/>
  <c r="A215" i="5" s="1"/>
  <c r="A216" i="5" s="1"/>
  <c r="A217" i="5" s="1"/>
  <c r="A220" i="5" s="1"/>
  <c r="A221" i="5" s="1"/>
  <c r="A222" i="5" s="1"/>
  <c r="A223" i="5" s="1"/>
  <c r="A224" i="5" s="1"/>
  <c r="A225" i="5" s="1"/>
  <c r="A226" i="5" s="1"/>
  <c r="A229" i="5" s="1"/>
  <c r="A230" i="5" s="1"/>
  <c r="A231" i="5" s="1"/>
  <c r="A232" i="5" s="1"/>
  <c r="A233" i="5" s="1"/>
  <c r="A234" i="5" s="1"/>
  <c r="A237" i="5" s="1"/>
  <c r="A238" i="5" s="1"/>
  <c r="A239" i="5" s="1"/>
  <c r="A240" i="5" s="1"/>
  <c r="A241" i="5" s="1"/>
  <c r="A244" i="5" s="1"/>
  <c r="A245" i="5" s="1"/>
  <c r="A246" i="5" s="1"/>
  <c r="A247" i="5" s="1"/>
  <c r="A248" i="5" s="1"/>
  <c r="A249" i="5" s="1"/>
  <c r="A252" i="5" s="1"/>
  <c r="A253" i="5" s="1"/>
  <c r="A254" i="5" s="1"/>
  <c r="A255" i="5" s="1"/>
  <c r="A256" i="5" s="1"/>
  <c r="A259" i="5" s="1"/>
  <c r="A260" i="5" s="1"/>
  <c r="A261" i="5" s="1"/>
  <c r="A262" i="5" s="1"/>
  <c r="A263" i="5" s="1"/>
  <c r="A266" i="5" s="1"/>
  <c r="A267" i="5" s="1"/>
  <c r="A268" i="5" s="1"/>
  <c r="A270" i="5" s="1"/>
  <c r="A271" i="5" s="1"/>
  <c r="A272" i="5" s="1"/>
  <c r="A275" i="5" s="1"/>
  <c r="A276" i="5" s="1"/>
  <c r="A279" i="5" s="1"/>
  <c r="A280" i="5" s="1"/>
  <c r="A281" i="5" s="1"/>
  <c r="A283" i="5" s="1"/>
  <c r="A286" i="5" s="1"/>
  <c r="A287" i="5" s="1"/>
  <c r="A290" i="5" s="1"/>
  <c r="A293" i="5" s="1"/>
  <c r="A296" i="5" s="1"/>
  <c r="A301" i="5" s="1"/>
  <c r="A304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4" i="5" s="1"/>
  <c r="A325" i="5" s="1"/>
  <c r="A328" i="5" s="1"/>
  <c r="A329" i="5" s="1"/>
  <c r="A330" i="5" s="1"/>
  <c r="A332" i="5" s="1"/>
  <c r="A333" i="5" s="1"/>
  <c r="A338" i="5" s="1"/>
  <c r="A339" i="5" s="1"/>
  <c r="A340" i="5" s="1"/>
  <c r="A341" i="5" s="1"/>
  <c r="A342" i="5" s="1"/>
  <c r="A343" i="5" s="1"/>
  <c r="A346" i="5" s="1"/>
  <c r="A351" i="5" s="1"/>
  <c r="A352" i="5" s="1"/>
  <c r="A353" i="5" s="1"/>
  <c r="A354" i="5" s="1"/>
  <c r="A355" i="5" s="1"/>
  <c r="A356" i="5" s="1"/>
  <c r="A361" i="5" s="1"/>
  <c r="A362" i="5" s="1"/>
  <c r="A363" i="5" s="1"/>
  <c r="A364" i="5" s="1"/>
  <c r="A365" i="5" s="1"/>
  <c r="A367" i="5" s="1"/>
  <c r="A368" i="5" s="1"/>
  <c r="A369" i="5" s="1"/>
  <c r="A370" i="5" s="1"/>
  <c r="A371" i="5" s="1"/>
  <c r="A373" i="5" s="1"/>
  <c r="A374" i="5" s="1"/>
  <c r="A375" i="5" s="1"/>
  <c r="A376" i="5" s="1"/>
  <c r="A380" i="5" s="1"/>
  <c r="A383" i="5" s="1"/>
  <c r="A384" i="5" s="1"/>
  <c r="A385" i="5" s="1"/>
  <c r="A386" i="5" s="1"/>
  <c r="A387" i="5" s="1"/>
  <c r="A391" i="5" s="1"/>
  <c r="A394" i="5" s="1"/>
  <c r="A395" i="5" s="1"/>
  <c r="A396" i="5" s="1"/>
  <c r="A401" i="5" s="1"/>
  <c r="A402" i="5" s="1"/>
  <c r="A405" i="5" s="1"/>
  <c r="A406" i="5" s="1"/>
  <c r="A407" i="5" s="1"/>
  <c r="A410" i="5" s="1"/>
  <c r="A411" i="5" s="1"/>
  <c r="A412" i="5" s="1"/>
  <c r="A415" i="5" s="1"/>
  <c r="A417" i="5" s="1"/>
  <c r="A418" i="5" s="1"/>
  <c r="A423" i="5" s="1"/>
  <c r="A427" i="5" s="1"/>
  <c r="A428" i="5" s="1"/>
  <c r="A429" i="5" s="1"/>
  <c r="A434" i="5" s="1"/>
  <c r="A435" i="5" s="1"/>
  <c r="A436" i="5" s="1"/>
  <c r="A438" i="5" s="1"/>
  <c r="A439" i="5" s="1"/>
  <c r="A441" i="5" s="1"/>
  <c r="A442" i="5" s="1"/>
  <c r="A444" i="5" s="1"/>
  <c r="A445" i="5" s="1"/>
  <c r="A448" i="5" s="1"/>
  <c r="A449" i="5" s="1"/>
  <c r="A450" i="5" s="1"/>
</calcChain>
</file>

<file path=xl/sharedStrings.xml><?xml version="1.0" encoding="utf-8"?>
<sst xmlns="http://schemas.openxmlformats.org/spreadsheetml/2006/main" count="1237" uniqueCount="316">
  <si>
    <t>Project Cost Summary</t>
  </si>
  <si>
    <t>Date:</t>
  </si>
  <si>
    <t>Project Title:</t>
  </si>
  <si>
    <t>Project Location:</t>
  </si>
  <si>
    <t>Total Cost</t>
  </si>
  <si>
    <t>Base Bid</t>
  </si>
  <si>
    <t>Note: Changing values here will change the values in complete project</t>
  </si>
  <si>
    <t>Unit Wastage Percentages</t>
  </si>
  <si>
    <t>Unit</t>
  </si>
  <si>
    <t>Wastage</t>
  </si>
  <si>
    <t>EA</t>
  </si>
  <si>
    <t>LF</t>
  </si>
  <si>
    <t>SF</t>
  </si>
  <si>
    <t>LS</t>
  </si>
  <si>
    <t>LBS</t>
  </si>
  <si>
    <t>TONS</t>
  </si>
  <si>
    <t>CY</t>
  </si>
  <si>
    <t>Div No:</t>
  </si>
  <si>
    <t>Description</t>
  </si>
  <si>
    <t>Sub-Total=</t>
  </si>
  <si>
    <t>Material Tax=</t>
  </si>
  <si>
    <t>Overhead and Profit=</t>
  </si>
  <si>
    <t>Sr#</t>
  </si>
  <si>
    <t>Ref Sheet</t>
  </si>
  <si>
    <t>Quantity</t>
  </si>
  <si>
    <t>Wastage %</t>
  </si>
  <si>
    <t>Quantity With Wastage</t>
  </si>
  <si>
    <t>Unit Labor Hour</t>
  </si>
  <si>
    <t>Total Labor Hour</t>
  </si>
  <si>
    <t>Per Hour Labor Rate</t>
  </si>
  <si>
    <t>Total Labor Hour Rate</t>
  </si>
  <si>
    <t>Unit Material Cost</t>
  </si>
  <si>
    <t>Total Material Cost</t>
  </si>
  <si>
    <t>Trade Cost</t>
  </si>
  <si>
    <t>MATERIAL TAKEOFF AND COST SUMMARY</t>
  </si>
  <si>
    <t>Total Bid=</t>
  </si>
  <si>
    <t>Gross area of Structure=</t>
  </si>
  <si>
    <t>Internal Area of Structure=</t>
  </si>
  <si>
    <t>No. of Floors=</t>
  </si>
  <si>
    <t>Total Labor Cost</t>
  </si>
  <si>
    <t>Item Cost</t>
  </si>
  <si>
    <t>Total=</t>
  </si>
  <si>
    <t>Div-02</t>
  </si>
  <si>
    <t>Div-05</t>
  </si>
  <si>
    <t>Metals</t>
  </si>
  <si>
    <t>Paint</t>
  </si>
  <si>
    <t>Div-08</t>
  </si>
  <si>
    <t>Openings</t>
  </si>
  <si>
    <t>Door Hardware</t>
  </si>
  <si>
    <t>Div-09</t>
  </si>
  <si>
    <t>Finishes</t>
  </si>
  <si>
    <t>Stud Walls</t>
  </si>
  <si>
    <t>Floor Finishes</t>
  </si>
  <si>
    <t>Floor Tiles</t>
  </si>
  <si>
    <t>Ceiling Finishes</t>
  </si>
  <si>
    <t>Base</t>
  </si>
  <si>
    <t>Wall Tiles</t>
  </si>
  <si>
    <t>Div-10</t>
  </si>
  <si>
    <t>Div-12</t>
  </si>
  <si>
    <t>Specialties</t>
  </si>
  <si>
    <t>Wall Paint</t>
  </si>
  <si>
    <t>Furnishing</t>
  </si>
  <si>
    <t>Cabinetry &amp; Millwork</t>
  </si>
  <si>
    <t>Div-03</t>
  </si>
  <si>
    <t>Concrete</t>
  </si>
  <si>
    <t>Concrete Slab</t>
  </si>
  <si>
    <t>Mobilization</t>
  </si>
  <si>
    <t>Mobilization for Concrete</t>
  </si>
  <si>
    <t>Acoustical Sealant at Top and Bottom on Both Sides</t>
  </si>
  <si>
    <t>Tapping</t>
  </si>
  <si>
    <t>Mudding Compound</t>
  </si>
  <si>
    <t>Screws</t>
  </si>
  <si>
    <t>Ceiling Paint</t>
  </si>
  <si>
    <t>Door Paint</t>
  </si>
  <si>
    <t>Steel Plate</t>
  </si>
  <si>
    <t>Steel Beam</t>
  </si>
  <si>
    <t>Toilet Accessories</t>
  </si>
  <si>
    <t>Div-26</t>
  </si>
  <si>
    <t>Electrical</t>
  </si>
  <si>
    <t>Lighting Items</t>
  </si>
  <si>
    <t>Switch</t>
  </si>
  <si>
    <t>Panel</t>
  </si>
  <si>
    <t>Conduits</t>
  </si>
  <si>
    <t>Wiring</t>
  </si>
  <si>
    <t>Div-28</t>
  </si>
  <si>
    <t>Electronic Safety &amp; Security</t>
  </si>
  <si>
    <t>Sensor</t>
  </si>
  <si>
    <t>Div-06</t>
  </si>
  <si>
    <t>Wood, Plastics and Sheathing</t>
  </si>
  <si>
    <t>Sheathing</t>
  </si>
  <si>
    <t>Trim Paint</t>
  </si>
  <si>
    <t>Div-11</t>
  </si>
  <si>
    <t>Equipment</t>
  </si>
  <si>
    <t>Div-22</t>
  </si>
  <si>
    <t>Plumbing</t>
  </si>
  <si>
    <t>Fixtures</t>
  </si>
  <si>
    <t>Div-23</t>
  </si>
  <si>
    <t>Heating, Ventilating, and Air Conditioning  (HVAC)</t>
  </si>
  <si>
    <t>2955 Outlook Way</t>
  </si>
  <si>
    <t>Naramata, BC</t>
  </si>
  <si>
    <t>Receptacles</t>
  </si>
  <si>
    <t>Recessed Downlight</t>
  </si>
  <si>
    <t>Pendent Light</t>
  </si>
  <si>
    <t>WP Duplex Receptacle</t>
  </si>
  <si>
    <t>Duplex Receptacle</t>
  </si>
  <si>
    <t>GFCI Duplex Receptacle</t>
  </si>
  <si>
    <t>Single Pole Switch</t>
  </si>
  <si>
    <t>Three Pole Switch</t>
  </si>
  <si>
    <t>Four Pole Switch</t>
  </si>
  <si>
    <t>Smoke and Carbon Monoxide Detector</t>
  </si>
  <si>
    <r>
      <t>(100A, 208Y/120, 1 Phase) Panel</t>
    </r>
    <r>
      <rPr>
        <sz val="12"/>
        <color rgb="FFFF0000"/>
        <rFont val="Calibri"/>
        <family val="2"/>
        <scheme val="minor"/>
      </rPr>
      <t xml:space="preserve"> (Assumed)</t>
    </r>
  </si>
  <si>
    <t>Concrete Strip Footing</t>
  </si>
  <si>
    <t>#5 Bar</t>
  </si>
  <si>
    <r>
      <t xml:space="preserve">(24" Wide X 8" Thk) Cont. Concrete Footing </t>
    </r>
    <r>
      <rPr>
        <b/>
        <sz val="12"/>
        <color theme="1"/>
        <rFont val="Calibri"/>
        <family val="2"/>
        <scheme val="minor"/>
      </rPr>
      <t>- (447 LF)</t>
    </r>
  </si>
  <si>
    <t>Concrete Foundation Wall</t>
  </si>
  <si>
    <t>(8" Thk X 36" H) Concrete Foundation Wall</t>
  </si>
  <si>
    <t>(8" Thk X 6'-8" H) Concrete Foundation Wall</t>
  </si>
  <si>
    <t>(8" Thk X 28" H) Concrete Foundation Wall</t>
  </si>
  <si>
    <t>(8" Thk X 38" H) Concrete Foundation Wall</t>
  </si>
  <si>
    <t>(8" Thk X 84" H) Concrete Foundation Wall</t>
  </si>
  <si>
    <t>(4" Thk) Concrete Slab</t>
  </si>
  <si>
    <t>6 Mil Poly Vapor Barrier</t>
  </si>
  <si>
    <t>Mobilization for Steel</t>
  </si>
  <si>
    <t>Mobilization for Aggregate</t>
  </si>
  <si>
    <t>Formwork for Concrete</t>
  </si>
  <si>
    <t>(6" Wide) Sill Plate for Headboard</t>
  </si>
  <si>
    <t>(2'-8" X 8'-0") Door W/ Frame</t>
  </si>
  <si>
    <t>(3'-0" X 8'-0") Door W/ Frame</t>
  </si>
  <si>
    <t>(16'-0" X 8'-0") Accordion Door W/ Frame W/ (16'-0" X 2'-0") Transom</t>
  </si>
  <si>
    <t>(12'-0" X 8'-0") Door W/ Frame</t>
  </si>
  <si>
    <t>(10'-0" X 8'-0") Door W/ Frame W/ (10'-0" X 2'-0") Transom</t>
  </si>
  <si>
    <t>(14'-0" X 8'-0") Door W/ Frame W/ (14'-0" X 2'-0") Transom</t>
  </si>
  <si>
    <t>(2'-4" X 8'-0") Door W/ Frame</t>
  </si>
  <si>
    <t>(6'-0" X 8'-0") Door W/ Frame</t>
  </si>
  <si>
    <t>(2'-8" X 8'-0") Sliding Pocket Door W/ Frame</t>
  </si>
  <si>
    <t>2 (2'-6" X 8'-0") Door W/ Frame</t>
  </si>
  <si>
    <t>(2'-6" X 8'-0") Door W/ Frame</t>
  </si>
  <si>
    <t>(4'-0" X 8'-0") Door W/ Frame</t>
  </si>
  <si>
    <t>(2'-6" X 8'-0") Barn Door W/ Frame</t>
  </si>
  <si>
    <t>(18'-0" X 9'-0") Overhead Garage Door</t>
  </si>
  <si>
    <t>(12'-0" X 10'-0") Overhead Garage Door</t>
  </si>
  <si>
    <t>Allowance for Door Hardware</t>
  </si>
  <si>
    <t>(5'-6" X 2'-6") Window</t>
  </si>
  <si>
    <t>(5'-9" X 2'-6") Window</t>
  </si>
  <si>
    <t>(3'-0" X 4'-6") Window</t>
  </si>
  <si>
    <t>(12'-0" X 4'-6") Window</t>
  </si>
  <si>
    <t>(3'-0" X 1'-6") Window</t>
  </si>
  <si>
    <t>(5'-0" X 1'-6") Window</t>
  </si>
  <si>
    <t>(6'-0" X 10'-0") Window</t>
  </si>
  <si>
    <t>(3'-0" X 10'-0") Window</t>
  </si>
  <si>
    <t>(4'-0" X 5'-0") Window</t>
  </si>
  <si>
    <t>(2'-6" X 2'-6") Window</t>
  </si>
  <si>
    <t>(4'-6" X 2'-6") Window</t>
  </si>
  <si>
    <r>
      <t>Doors</t>
    </r>
    <r>
      <rPr>
        <b/>
        <sz val="12"/>
        <color rgb="FFFF0000"/>
        <rFont val="Calibri"/>
        <family val="2"/>
        <scheme val="minor"/>
      </rPr>
      <t xml:space="preserve"> (All Doors to be Black Vinyl)</t>
    </r>
  </si>
  <si>
    <r>
      <t>Windows</t>
    </r>
    <r>
      <rPr>
        <b/>
        <sz val="12"/>
        <color rgb="FFFF0000"/>
        <rFont val="Calibri"/>
        <family val="2"/>
        <scheme val="minor"/>
      </rPr>
      <t xml:space="preserve"> (All Window to be Black Vinyl)</t>
    </r>
  </si>
  <si>
    <t>(42" H) Aluminum Glass Railing</t>
  </si>
  <si>
    <t>Exterior Railing</t>
  </si>
  <si>
    <t>(48" Wide X 2" Thk) Countertop</t>
  </si>
  <si>
    <t>(24" Wide X 2" Thk) Countertop</t>
  </si>
  <si>
    <t>(24" Wide X 2" Thk) Countertop @ Bath</t>
  </si>
  <si>
    <t>(26" Wide X 2" Thk) Countertop @ Patio</t>
  </si>
  <si>
    <t>(2'-6" Wide X 2'-10" H) Base Cabinet</t>
  </si>
  <si>
    <t>(24" Wide X 2'-10" H) Base Cabinet</t>
  </si>
  <si>
    <t>(12" Wide X 5'-7" H) Upper Cabinet</t>
  </si>
  <si>
    <r>
      <t>(24" Wide X 2'-10" H) Base Cabinet @ Bath</t>
    </r>
    <r>
      <rPr>
        <sz val="12"/>
        <color rgb="FFFF0000"/>
        <rFont val="Calibri"/>
        <family val="2"/>
        <scheme val="minor"/>
      </rPr>
      <t xml:space="preserve"> (Assumed, Please verify if required)</t>
    </r>
  </si>
  <si>
    <t>(24" Deep X 2'-10" H) Base Cabinet @ Patio</t>
  </si>
  <si>
    <t>Shelving Rod</t>
  </si>
  <si>
    <t>(24" Wide) Shelving</t>
  </si>
  <si>
    <t>(26" Wide) Shelving</t>
  </si>
  <si>
    <t>(18" Wide) Shelving</t>
  </si>
  <si>
    <t>Refrigerator</t>
  </si>
  <si>
    <t>Washer</t>
  </si>
  <si>
    <t>Dryer</t>
  </si>
  <si>
    <t>(26" X 42") Cooktop</t>
  </si>
  <si>
    <t>Dishwasher (Assumed, Please Verify If Required)</t>
  </si>
  <si>
    <t>(26" X 30") Wall Ovens</t>
  </si>
  <si>
    <t>(32" Wide X 2" Thk) Countertop</t>
  </si>
  <si>
    <t>(2'-4" Wide) 10 Mil Glass Door Partition</t>
  </si>
  <si>
    <t>Glass Partition</t>
  </si>
  <si>
    <t>(18" X 36") Mirror</t>
  </si>
  <si>
    <t>24" Grab Bar</t>
  </si>
  <si>
    <t>36" Grab Bar</t>
  </si>
  <si>
    <t>42" Grab Bar</t>
  </si>
  <si>
    <t>Soap Dispenser</t>
  </si>
  <si>
    <t>Toilet Paper Dispenser</t>
  </si>
  <si>
    <t>Water Closet</t>
  </si>
  <si>
    <t>Sink W/ Faucet @ Bath</t>
  </si>
  <si>
    <t>Double Compartment Sink</t>
  </si>
  <si>
    <t>(3'-0" X 5'-6") Free Standing Tub</t>
  </si>
  <si>
    <t>Shower Head</t>
  </si>
  <si>
    <t>(27" Dia) European Style Hung Ceiling Fireplace</t>
  </si>
  <si>
    <t>Boiler</t>
  </si>
  <si>
    <t>Water Heater</t>
  </si>
  <si>
    <t>Wooden Beam</t>
  </si>
  <si>
    <t>3 (2 X 12) Header Beam</t>
  </si>
  <si>
    <t>3 (2 X 14) Header Beam</t>
  </si>
  <si>
    <t>3 (2 X 10) Header Beam</t>
  </si>
  <si>
    <t>3 (2 X 8) Header Beam</t>
  </si>
  <si>
    <r>
      <t>W14 X 53</t>
    </r>
    <r>
      <rPr>
        <sz val="12"/>
        <color rgb="FFFF0000"/>
        <rFont val="Calibri"/>
        <family val="2"/>
        <scheme val="minor"/>
      </rPr>
      <t xml:space="preserve"> (Section Assumed, Please Verify)</t>
    </r>
  </si>
  <si>
    <t>Wooden Post</t>
  </si>
  <si>
    <t>(6" x 6") Wooden Post @ 10'-1" H</t>
  </si>
  <si>
    <t>Roof Framing</t>
  </si>
  <si>
    <t>14" Engineered Roof Joist @ 24" O.C</t>
  </si>
  <si>
    <t>(14" Deep) Engineered Roof Trusses @ 24" O.C @ Raised Main Floor</t>
  </si>
  <si>
    <t>(14" Deep) Engineered Roof Trusses @ 24" O.C</t>
  </si>
  <si>
    <t>Div-07</t>
  </si>
  <si>
    <t>Thermal &amp; Moisture Protection</t>
  </si>
  <si>
    <t>Roofing</t>
  </si>
  <si>
    <t>Standing Seam Metal Roofing</t>
  </si>
  <si>
    <t>Torch on Asphalt Roofing</t>
  </si>
  <si>
    <t>5/8" Plywood Sheathing - (4'X8' Ea.)</t>
  </si>
  <si>
    <t>Poly Vapor Barrier</t>
  </si>
  <si>
    <t>Drainage Mat</t>
  </si>
  <si>
    <t>Vertical Channel Siding (Dark)</t>
  </si>
  <si>
    <t>Metal Finish</t>
  </si>
  <si>
    <t>Deck Edge C/W Hardi Panel (Dark)</t>
  </si>
  <si>
    <t>Cedar Soffit</t>
  </si>
  <si>
    <t>Metal Soffit</t>
  </si>
  <si>
    <t>(20" H) Hardi Panel Fascia (Dark)</t>
  </si>
  <si>
    <t>(14" H) Hardi Panel Fascia (Dark)</t>
  </si>
  <si>
    <t>Door &amp; Window Trim</t>
  </si>
  <si>
    <t>(2 X 6) Rough Sawn Window Trim</t>
  </si>
  <si>
    <t>(2 X 6) Rough Sawn Door Trim</t>
  </si>
  <si>
    <t>Carpet Tile</t>
  </si>
  <si>
    <t>Sealed Concrete</t>
  </si>
  <si>
    <t>Ceramic Floor Tile</t>
  </si>
  <si>
    <t>7/8" Furring Channels</t>
  </si>
  <si>
    <t>1/2" Gypsum Board Ceiling - (4'X8' Ea.)</t>
  </si>
  <si>
    <t>1/2" Green Gypsum Board Ceiling - (4'X8' Ea.)</t>
  </si>
  <si>
    <t>1/2" Type X Gypsum Board Ceiling @ Garage - (4'X8' Ea.)</t>
  </si>
  <si>
    <t>4" Rubber Base</t>
  </si>
  <si>
    <t>Ceramic Wall Tile</t>
  </si>
  <si>
    <t>Paint on (2'-4" X 8'-0") Door W/ Frame</t>
  </si>
  <si>
    <t>Paint on (2'-6" X 8'-0") Barn Door W/ Frame</t>
  </si>
  <si>
    <t>Paint on (2'-6" X 8'-0") Door W/ Frame</t>
  </si>
  <si>
    <t>Paint on (2'-8" X 8'-0") Door W/ Frame</t>
  </si>
  <si>
    <t>Paint on (2'-8" X 8'-0") Sliding Pocket Door W/ Frame</t>
  </si>
  <si>
    <t>Paint on (3'-0" X 8'-0") Door W/ Frame</t>
  </si>
  <si>
    <t>Paint on (4'-0" X 8'-0") Door W/ Frame</t>
  </si>
  <si>
    <t>Paint on (6'-0" X 8'-0") Door W/ Frame</t>
  </si>
  <si>
    <t>Paint on 2 (2'-6" X 8'-0") Door W/ Frame</t>
  </si>
  <si>
    <t>Paint on (10'-0" X 8'-0") Door W/ Frame W/ (10'-0" X 2'-0") Transom</t>
  </si>
  <si>
    <t>Paint on (12'-0" X 8'-0") Door W/ Frame</t>
  </si>
  <si>
    <t>Paint on (14'-0" X 8'-0") Door W/ Frame W/ (14'-0" X 2'-0") Transom</t>
  </si>
  <si>
    <t>Paint on (16'-0" X 8'-0") Accordion Door W/ Frame W/ (16'-0" X 2'-0") Transom</t>
  </si>
  <si>
    <t>Paint on (2 X 6) Rough Sawn Window Trim</t>
  </si>
  <si>
    <t>Paint on (2 X 6) Rough Sawn Door Trim</t>
  </si>
  <si>
    <t>Exterior Paint</t>
  </si>
  <si>
    <t>(2 X 6) Exterior Wall @ 10'-1" H</t>
  </si>
  <si>
    <t>(1) 1/2" Gypsum Board on Both Side (4'X8' Ea.)</t>
  </si>
  <si>
    <t>(2 X 6) Wood Stud (10' H)</t>
  </si>
  <si>
    <t>(2 X 6) Double Top Plate</t>
  </si>
  <si>
    <t>(2 X 6) Pt Bottom Plate</t>
  </si>
  <si>
    <t>R-24 Batt Insulation</t>
  </si>
  <si>
    <t>(2 X 4) Wood Stud (10' H)</t>
  </si>
  <si>
    <t>(2 X 4) Double Top Plate</t>
  </si>
  <si>
    <t>(2 X 4) Pt Bottom Plate</t>
  </si>
  <si>
    <t>(2 X 6) Wood Stud (16' H)</t>
  </si>
  <si>
    <t>Div-31</t>
  </si>
  <si>
    <t>Earthwork</t>
  </si>
  <si>
    <t>Excavation</t>
  </si>
  <si>
    <t>Backfill</t>
  </si>
  <si>
    <t>Soil Export</t>
  </si>
  <si>
    <t>Div-32</t>
  </si>
  <si>
    <t>Exterior Improvements</t>
  </si>
  <si>
    <t>Site Concrete</t>
  </si>
  <si>
    <t>(4" Thk) Concrete Patio</t>
  </si>
  <si>
    <t>(6" Thk) Concrete Driveway</t>
  </si>
  <si>
    <t>(6" Thk) Concrete Walkway</t>
  </si>
  <si>
    <t>(12" Thk) Concrete Slab @ Pool</t>
  </si>
  <si>
    <t>(28" Wide X 8" Thk) Cont. Concrete Footing</t>
  </si>
  <si>
    <t>(12" Thk X 80" H) Concrete Foundation Wall</t>
  </si>
  <si>
    <t>Allowance for HVAC and Accessories - (2959 SF)</t>
  </si>
  <si>
    <t>Allowance for Plumbing pipes and accessories - (617 SF)</t>
  </si>
  <si>
    <t>Paint on Wall</t>
  </si>
  <si>
    <t>Paint on Ceiling</t>
  </si>
  <si>
    <t>4" Rigid Insulation</t>
  </si>
  <si>
    <t>In Slab Hydronics System</t>
  </si>
  <si>
    <t>Weather Barrier</t>
  </si>
  <si>
    <t>(2 X 6) Exterior Stub Wall @ 42" H</t>
  </si>
  <si>
    <t>(2 X 6) Wood Stud (8' H)</t>
  </si>
  <si>
    <t>(2 X 6) Exterior Wall @ 16'-0" H</t>
  </si>
  <si>
    <t>(2 X 6) Interior Wall @ 10'-1" H (1GB)</t>
  </si>
  <si>
    <t>(1) 1/2" Gypsum Board on one Side (4'X8' Ea.)</t>
  </si>
  <si>
    <t>(1) 1/2" Green Gypsum Board on one Side (4'X8' Ea.)</t>
  </si>
  <si>
    <t>(2 X 6) Interior Wall @ 16'-0" H</t>
  </si>
  <si>
    <t>(2 X 6) Exterior Wall @ 10'-1" H (1GB)</t>
  </si>
  <si>
    <t>(2 X 6) Exterior Wall @ 10'-7" H</t>
  </si>
  <si>
    <t>(1) 1/2"  Gypsum Board on one Side (4'X8' Ea.)</t>
  </si>
  <si>
    <t>(2 X 6) Wood Stud (12' H)</t>
  </si>
  <si>
    <t>(2 X 6) Interior Wall @ 10'-1" H</t>
  </si>
  <si>
    <t>(1) 1/2"  Gypsum Board on both Side (4'X8' Ea.)</t>
  </si>
  <si>
    <t xml:space="preserve">(2 X 6) Interior Wall @ 10'-7" H </t>
  </si>
  <si>
    <t>(2 X 4) Wood Stud (12' H)</t>
  </si>
  <si>
    <t>(2 X 4) Exterior Wall @ 10'-1" H</t>
  </si>
  <si>
    <t>(2 X 4) Interior Wall @ 10'-1" H</t>
  </si>
  <si>
    <t>(2 X 4) Interior Wall @ 10'-7" H</t>
  </si>
  <si>
    <t>(1) 1/2"  Green Gypsum Board on one Side (4'X8' Ea.)</t>
  </si>
  <si>
    <t>(2 X 4) Interior Wall @ 10'-1" H (2GB)</t>
  </si>
  <si>
    <t>(1) 1/2"  Green Gypsum Board on both Side (4'X8' Ea.)</t>
  </si>
  <si>
    <t>(2 X 4) Interior Wall @ 10'-1" H (1GB)</t>
  </si>
  <si>
    <t>(2 X 6) Parapet Wall @ 5-1/4" H</t>
  </si>
  <si>
    <t>Sheet #5</t>
  </si>
  <si>
    <t>Sheet #6</t>
  </si>
  <si>
    <t>Sheet #7</t>
  </si>
  <si>
    <t>Sheet #2</t>
  </si>
  <si>
    <t>Sheet #8</t>
  </si>
  <si>
    <t>Sheet #3, Sheet #4</t>
  </si>
  <si>
    <t>Sheet #6, Sheet #11</t>
  </si>
  <si>
    <t>Sheet #11</t>
  </si>
  <si>
    <t>1/2" Plywood Sheathing - 4'X8' Ea.)</t>
  </si>
  <si>
    <t>Exterior Finishes</t>
  </si>
  <si>
    <t>Sheet #15</t>
  </si>
  <si>
    <t>3- (5'-4" X 2'-6") Window</t>
  </si>
  <si>
    <t>4- (5'-4" X 2'-11") Window</t>
  </si>
  <si>
    <t>5- (5'-4" X 3'-5") Window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</si>
</sst>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$-409]* #,##0.00_);_([$$-409]* \(#,##0.00\);_([$$-409]* &quot;-&quot;??_);_(@_)"/>
    <numFmt numFmtId="165" formatCode="0.0%"/>
    <numFmt numFmtId="166" formatCode="0.000"/>
    <numFmt numFmtId="167" formatCode="0.0"/>
    <numFmt numFmtId="168" formatCode="_([$$-409]* #,##0.0_);_([$$-409]* \(#,##0.0\);_([$$-409]* &quot;-&quot;??_);_(@_)"/>
    <numFmt numFmtId="169" formatCode="_([$$-409]* #,##0_);_([$$-409]* \(#,##0\);_([$$-409]* &quot;-&quot;??_);_(@_)"/>
    <numFmt numFmtId="170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5" fillId="8" borderId="28" applyNumberFormat="0" applyFont="0" applyAlignment="0" applyProtection="0"/>
    <xf numFmtId="0" fontId="9" fillId="12" borderId="49" applyNumberFormat="0" applyFont="0" applyAlignment="0" applyProtection="0"/>
  </cellStyleXfs>
  <cellXfs count="119">
    <xf numFmtId="0" fontId="0" fillId="0" borderId="0" xfId="0"/>
    <xf numFmtId="0" fontId="4" fillId="0" borderId="0" xfId="0" applyFont="1" applyAlignment="1">
      <alignment vertical="top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6" borderId="0" xfId="0" applyFont="1" applyFill="1" applyAlignment="1">
      <alignment vertical="top"/>
    </xf>
    <xf numFmtId="0" fontId="1" fillId="6" borderId="10" xfId="0" applyFont="1" applyFill="1" applyBorder="1" applyAlignment="1">
      <alignment vertical="top"/>
    </xf>
    <xf numFmtId="0" fontId="4" fillId="6" borderId="0" xfId="0" applyFont="1" applyFill="1" applyAlignment="1">
      <alignment vertical="center"/>
    </xf>
    <xf numFmtId="0" fontId="4" fillId="6" borderId="24" xfId="0" applyFont="1" applyFill="1" applyBorder="1" applyAlignment="1">
      <alignment vertical="center"/>
    </xf>
    <xf numFmtId="165" fontId="4" fillId="0" borderId="12" xfId="0" applyNumberFormat="1" applyFont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1" fillId="6" borderId="11" xfId="0" applyNumberFormat="1" applyFont="1" applyFill="1" applyBorder="1" applyAlignment="1">
      <alignment vertical="top"/>
    </xf>
    <xf numFmtId="164" fontId="1" fillId="6" borderId="13" xfId="0" applyNumberFormat="1" applyFont="1" applyFill="1" applyBorder="1" applyAlignment="1">
      <alignment vertical="top"/>
    </xf>
    <xf numFmtId="164" fontId="4" fillId="6" borderId="13" xfId="0" applyNumberFormat="1" applyFont="1" applyFill="1" applyBorder="1" applyAlignment="1">
      <alignment vertical="center"/>
    </xf>
    <xf numFmtId="164" fontId="4" fillId="6" borderId="23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right" vertical="top"/>
    </xf>
    <xf numFmtId="1" fontId="4" fillId="6" borderId="0" xfId="0" applyNumberFormat="1" applyFont="1" applyFill="1" applyAlignment="1">
      <alignment horizontal="right" vertical="top"/>
    </xf>
    <xf numFmtId="1" fontId="4" fillId="6" borderId="0" xfId="0" applyNumberFormat="1" applyFont="1" applyFill="1" applyAlignment="1">
      <alignment horizontal="right" vertical="center"/>
    </xf>
    <xf numFmtId="1" fontId="4" fillId="6" borderId="24" xfId="0" applyNumberFormat="1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9" fontId="4" fillId="6" borderId="9" xfId="0" applyNumberFormat="1" applyFont="1" applyFill="1" applyBorder="1" applyAlignment="1">
      <alignment vertical="center"/>
    </xf>
    <xf numFmtId="9" fontId="4" fillId="6" borderId="12" xfId="0" applyNumberFormat="1" applyFont="1" applyFill="1" applyBorder="1" applyAlignment="1">
      <alignment vertical="center"/>
    </xf>
    <xf numFmtId="9" fontId="4" fillId="6" borderId="22" xfId="0" applyNumberFormat="1" applyFont="1" applyFill="1" applyBorder="1" applyAlignment="1">
      <alignment vertical="center"/>
    </xf>
    <xf numFmtId="9" fontId="1" fillId="4" borderId="14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9" fontId="4" fillId="0" borderId="24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1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164" fontId="4" fillId="0" borderId="26" xfId="0" applyNumberFormat="1" applyFont="1" applyBorder="1" applyAlignment="1">
      <alignment vertical="center"/>
    </xf>
    <xf numFmtId="165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1" fontId="6" fillId="9" borderId="29" xfId="1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top"/>
    </xf>
    <xf numFmtId="166" fontId="4" fillId="0" borderId="0" xfId="0" applyNumberFormat="1" applyFont="1" applyAlignment="1">
      <alignment horizontal="center" vertical="center"/>
    </xf>
    <xf numFmtId="14" fontId="4" fillId="6" borderId="10" xfId="0" applyNumberFormat="1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65" fontId="4" fillId="0" borderId="39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4" fillId="6" borderId="40" xfId="0" applyFont="1" applyFill="1" applyBorder="1" applyAlignment="1">
      <alignment vertical="top"/>
    </xf>
    <xf numFmtId="14" fontId="1" fillId="6" borderId="41" xfId="0" applyNumberFormat="1" applyFont="1" applyFill="1" applyBorder="1" applyAlignment="1">
      <alignment vertical="top"/>
    </xf>
    <xf numFmtId="0" fontId="4" fillId="6" borderId="42" xfId="0" applyFont="1" applyFill="1" applyBorder="1" applyAlignment="1">
      <alignment vertical="top"/>
    </xf>
    <xf numFmtId="0" fontId="4" fillId="6" borderId="33" xfId="0" applyFont="1" applyFill="1" applyBorder="1" applyAlignment="1">
      <alignment vertical="top"/>
    </xf>
    <xf numFmtId="14" fontId="1" fillId="6" borderId="34" xfId="0" applyNumberFormat="1" applyFont="1" applyFill="1" applyBorder="1" applyAlignment="1">
      <alignment vertical="top"/>
    </xf>
    <xf numFmtId="0" fontId="2" fillId="11" borderId="0" xfId="0" applyFont="1" applyFill="1" applyAlignment="1">
      <alignment horizontal="center" vertical="center"/>
    </xf>
    <xf numFmtId="1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1" fillId="7" borderId="16" xfId="0" applyFont="1" applyFill="1" applyBorder="1" applyAlignment="1">
      <alignment vertical="center"/>
    </xf>
    <xf numFmtId="164" fontId="1" fillId="7" borderId="16" xfId="0" applyNumberFormat="1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164" fontId="1" fillId="7" borderId="18" xfId="0" applyNumberFormat="1" applyFont="1" applyFill="1" applyBorder="1" applyAlignment="1">
      <alignment vertical="center"/>
    </xf>
    <xf numFmtId="1" fontId="1" fillId="7" borderId="16" xfId="0" applyNumberFormat="1" applyFont="1" applyFill="1" applyBorder="1" applyAlignment="1">
      <alignment vertical="center"/>
    </xf>
    <xf numFmtId="9" fontId="1" fillId="7" borderId="16" xfId="0" applyNumberFormat="1" applyFont="1" applyFill="1" applyBorder="1" applyAlignment="1">
      <alignment vertical="center"/>
    </xf>
    <xf numFmtId="0" fontId="1" fillId="7" borderId="19" xfId="0" applyFont="1" applyFill="1" applyBorder="1" applyAlignment="1">
      <alignment horizontal="center" vertical="center"/>
    </xf>
    <xf numFmtId="169" fontId="1" fillId="7" borderId="18" xfId="0" applyNumberFormat="1" applyFont="1" applyFill="1" applyBorder="1" applyAlignment="1">
      <alignment vertical="center"/>
    </xf>
    <xf numFmtId="14" fontId="1" fillId="6" borderId="43" xfId="0" applyNumberFormat="1" applyFont="1" applyFill="1" applyBorder="1" applyAlignment="1">
      <alignment vertical="top" wrapText="1"/>
    </xf>
    <xf numFmtId="165" fontId="4" fillId="0" borderId="48" xfId="0" applyNumberFormat="1" applyFont="1" applyBorder="1" applyAlignment="1">
      <alignment horizontal="center" vertical="center"/>
    </xf>
    <xf numFmtId="170" fontId="4" fillId="0" borderId="27" xfId="0" applyNumberFormat="1" applyFont="1" applyBorder="1" applyAlignment="1">
      <alignment vertical="center"/>
    </xf>
    <xf numFmtId="170" fontId="4" fillId="0" borderId="26" xfId="0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170" fontId="4" fillId="0" borderId="13" xfId="0" applyNumberFormat="1" applyFont="1" applyBorder="1" applyAlignment="1">
      <alignment vertical="center"/>
    </xf>
    <xf numFmtId="170" fontId="4" fillId="0" borderId="24" xfId="0" applyNumberFormat="1" applyFont="1" applyBorder="1" applyAlignment="1">
      <alignment vertical="center"/>
    </xf>
    <xf numFmtId="170" fontId="4" fillId="0" borderId="23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vertical="center"/>
    </xf>
    <xf numFmtId="170" fontId="4" fillId="0" borderId="44" xfId="0" applyNumberFormat="1" applyFont="1" applyBorder="1" applyAlignment="1">
      <alignment vertical="center"/>
    </xf>
    <xf numFmtId="170" fontId="4" fillId="0" borderId="46" xfId="0" applyNumberFormat="1" applyFont="1" applyBorder="1" applyAlignment="1">
      <alignment vertical="center"/>
    </xf>
    <xf numFmtId="170" fontId="4" fillId="0" borderId="45" xfId="0" applyNumberFormat="1" applyFont="1" applyBorder="1" applyAlignment="1">
      <alignment vertical="center"/>
    </xf>
    <xf numFmtId="170" fontId="4" fillId="0" borderId="30" xfId="0" applyNumberFormat="1" applyFont="1" applyBorder="1" applyAlignment="1">
      <alignment vertical="center"/>
    </xf>
    <xf numFmtId="1" fontId="4" fillId="6" borderId="0" xfId="0" applyNumberFormat="1" applyFont="1" applyFill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169" fontId="4" fillId="0" borderId="34" xfId="0" applyNumberFormat="1" applyFont="1" applyBorder="1" applyAlignment="1">
      <alignment vertical="top"/>
    </xf>
    <xf numFmtId="0" fontId="1" fillId="3" borderId="9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2" fillId="10" borderId="25" xfId="0" applyNumberFormat="1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top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left" vertical="top"/>
    </xf>
  </cellXfs>
  <cellStyles count="3">
    <cellStyle name="Normal" xfId="0" builtinId="0"/>
    <cellStyle name="Note" xfId="1" builtinId="10"/>
    <cellStyle name="Note 10 2 10 6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qar\Desktop\MEP%20METROPOLIT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BASE BID"/>
      <sheetName val="ADD ALTERNAT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zoomScale="85" zoomScaleNormal="85" workbookViewId="0">
      <selection activeCell="D11" sqref="D11"/>
    </sheetView>
  </sheetViews>
  <sheetFormatPr defaultColWidth="9.140625" defaultRowHeight="15.75" x14ac:dyDescent="0.25"/>
  <cols>
    <col min="1" max="2" width="9.140625" style="1"/>
    <col min="3" max="3" width="23.28515625" style="1" customWidth="1"/>
    <col min="4" max="4" width="44.7109375" style="1" customWidth="1"/>
    <col min="5" max="5" width="12.140625" style="1" bestFit="1" customWidth="1"/>
    <col min="6" max="6" width="12.42578125" style="1" bestFit="1" customWidth="1"/>
    <col min="7" max="7" width="10.7109375" style="1" bestFit="1" customWidth="1"/>
    <col min="8" max="8" width="9.140625" style="1"/>
    <col min="9" max="9" width="11.85546875" style="1" customWidth="1"/>
    <col min="10" max="10" width="12.140625" style="1" customWidth="1"/>
    <col min="11" max="16384" width="9.140625" style="1"/>
  </cols>
  <sheetData>
    <row r="1" spans="1:11" ht="21.75" thickBot="1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4" spans="1:11" ht="16.5" thickBot="1" x14ac:dyDescent="0.3"/>
    <row r="5" spans="1:11" ht="16.5" thickBot="1" x14ac:dyDescent="0.3">
      <c r="C5" s="73" t="s">
        <v>1</v>
      </c>
      <c r="D5" s="74">
        <f>'BASE BID'!H5</f>
        <v>44818</v>
      </c>
    </row>
    <row r="6" spans="1:11" ht="16.5" thickBot="1" x14ac:dyDescent="0.3">
      <c r="C6" s="76" t="s">
        <v>2</v>
      </c>
      <c r="D6" s="77" t="str">
        <f>'BASE BID'!H6</f>
        <v>2955 Outlook Way</v>
      </c>
    </row>
    <row r="7" spans="1:11" ht="32.25" thickBot="1" x14ac:dyDescent="0.3">
      <c r="C7" s="75" t="s">
        <v>3</v>
      </c>
      <c r="D7" s="89" t="str">
        <f>'BASE BID'!H7</f>
        <v>Naramata, BC</v>
      </c>
    </row>
    <row r="8" spans="1:11" ht="16.5" thickBot="1" x14ac:dyDescent="0.3"/>
    <row r="9" spans="1:11" ht="19.5" thickBot="1" x14ac:dyDescent="0.3">
      <c r="C9" s="110" t="str">
        <f>D6</f>
        <v>2955 Outlook Way</v>
      </c>
      <c r="D9" s="111"/>
    </row>
    <row r="10" spans="1:11" ht="25.5" customHeight="1" thickBot="1" x14ac:dyDescent="0.3">
      <c r="C10" s="64" t="s">
        <v>0</v>
      </c>
      <c r="D10" s="65" t="s">
        <v>4</v>
      </c>
    </row>
    <row r="11" spans="1:11" ht="16.5" thickBot="1" x14ac:dyDescent="0.3">
      <c r="C11" s="66" t="s">
        <v>5</v>
      </c>
      <c r="D11" s="104">
        <f>'BASE BID'!D9</f>
        <v>836233.62523182016</v>
      </c>
    </row>
    <row r="23" spans="3:4" ht="16.5" thickBot="1" x14ac:dyDescent="0.3">
      <c r="C23" s="1" t="s">
        <v>6</v>
      </c>
    </row>
    <row r="24" spans="3:4" ht="16.5" thickBot="1" x14ac:dyDescent="0.3">
      <c r="C24" s="105" t="s">
        <v>7</v>
      </c>
      <c r="D24" s="106"/>
    </row>
    <row r="25" spans="3:4" ht="16.5" thickBot="1" x14ac:dyDescent="0.3">
      <c r="C25" s="8" t="s">
        <v>8</v>
      </c>
      <c r="D25" s="7" t="s">
        <v>9</v>
      </c>
    </row>
    <row r="26" spans="3:4" x14ac:dyDescent="0.25">
      <c r="C26" s="9" t="s">
        <v>10</v>
      </c>
      <c r="D26" s="2">
        <v>0</v>
      </c>
    </row>
    <row r="27" spans="3:4" x14ac:dyDescent="0.25">
      <c r="C27" s="5" t="s">
        <v>11</v>
      </c>
      <c r="D27" s="3">
        <v>0.05</v>
      </c>
    </row>
    <row r="28" spans="3:4" x14ac:dyDescent="0.25">
      <c r="C28" s="5" t="s">
        <v>12</v>
      </c>
      <c r="D28" s="3">
        <v>0.05</v>
      </c>
    </row>
    <row r="29" spans="3:4" x14ac:dyDescent="0.25">
      <c r="C29" s="5" t="s">
        <v>13</v>
      </c>
      <c r="D29" s="3">
        <v>0</v>
      </c>
    </row>
    <row r="30" spans="3:4" x14ac:dyDescent="0.25">
      <c r="C30" s="5" t="s">
        <v>14</v>
      </c>
      <c r="D30" s="3">
        <v>0.05</v>
      </c>
    </row>
    <row r="31" spans="3:4" x14ac:dyDescent="0.25">
      <c r="C31" s="5" t="s">
        <v>15</v>
      </c>
      <c r="D31" s="3">
        <v>0.05</v>
      </c>
    </row>
    <row r="32" spans="3:4" ht="16.5" thickBot="1" x14ac:dyDescent="0.3">
      <c r="C32" s="6" t="s">
        <v>16</v>
      </c>
      <c r="D32" s="4">
        <v>0.05</v>
      </c>
    </row>
  </sheetData>
  <mergeCells count="3">
    <mergeCell ref="C24:D24"/>
    <mergeCell ref="A1:K1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5"/>
  <sheetViews>
    <sheetView tabSelected="1" zoomScale="55" zoomScaleNormal="55" zoomScaleSheetLayoutView="40" workbookViewId="0">
      <pane ySplit="1" topLeftCell="A2" activePane="bottomLeft" state="frozen"/>
      <selection pane="bottomLeft" activeCell="D16" sqref="D16"/>
    </sheetView>
  </sheetViews>
  <sheetFormatPr defaultColWidth="9.140625" defaultRowHeight="15.75" x14ac:dyDescent="0.25"/>
  <cols>
    <col min="1" max="1" width="9.140625" style="16"/>
    <col min="2" max="2" width="17.85546875" style="16" customWidth="1"/>
    <col min="3" max="3" width="12.28515625" style="16" bestFit="1" customWidth="1"/>
    <col min="4" max="4" width="100.7109375" style="10" bestFit="1" customWidth="1"/>
    <col min="5" max="5" width="12.85546875" style="31" customWidth="1"/>
    <col min="6" max="6" width="14.42578125" style="39" customWidth="1"/>
    <col min="7" max="7" width="20.42578125" style="31" customWidth="1"/>
    <col min="8" max="8" width="16.42578125" style="16" customWidth="1"/>
    <col min="9" max="9" width="13.28515625" style="10" customWidth="1"/>
    <col min="10" max="10" width="16.85546875" style="10" customWidth="1"/>
    <col min="11" max="11" width="16.5703125" style="23" customWidth="1"/>
    <col min="12" max="12" width="20.7109375" style="23" customWidth="1"/>
    <col min="13" max="13" width="14.28515625" style="23" customWidth="1"/>
    <col min="14" max="14" width="17.42578125" style="23" customWidth="1"/>
    <col min="15" max="15" width="17.140625" style="23" customWidth="1"/>
    <col min="16" max="16" width="19.42578125" style="23" bestFit="1" customWidth="1"/>
    <col min="17" max="16384" width="9.140625" style="10"/>
  </cols>
  <sheetData>
    <row r="1" spans="1:16" s="11" customFormat="1" ht="49.5" customHeight="1" thickBot="1" x14ac:dyDescent="0.3">
      <c r="A1" s="12" t="s">
        <v>22</v>
      </c>
      <c r="B1" s="13" t="s">
        <v>23</v>
      </c>
      <c r="C1" s="13" t="s">
        <v>17</v>
      </c>
      <c r="D1" s="13" t="s">
        <v>18</v>
      </c>
      <c r="E1" s="32" t="s">
        <v>24</v>
      </c>
      <c r="F1" s="38" t="s">
        <v>25</v>
      </c>
      <c r="G1" s="32" t="s">
        <v>26</v>
      </c>
      <c r="H1" s="13" t="s">
        <v>8</v>
      </c>
      <c r="I1" s="13" t="s">
        <v>27</v>
      </c>
      <c r="J1" s="13" t="s">
        <v>28</v>
      </c>
      <c r="K1" s="28" t="s">
        <v>29</v>
      </c>
      <c r="L1" s="28" t="s">
        <v>30</v>
      </c>
      <c r="M1" s="28" t="s">
        <v>31</v>
      </c>
      <c r="N1" s="28" t="s">
        <v>32</v>
      </c>
      <c r="O1" s="28" t="s">
        <v>4</v>
      </c>
      <c r="P1" s="29" t="s">
        <v>33</v>
      </c>
    </row>
    <row r="2" spans="1:16" ht="16.5" thickBot="1" x14ac:dyDescent="0.3">
      <c r="A2" s="112" t="s">
        <v>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</row>
    <row r="4" spans="1:16" ht="16.5" thickBot="1" x14ac:dyDescent="0.3"/>
    <row r="5" spans="1:16" ht="19.5" thickBot="1" x14ac:dyDescent="0.3">
      <c r="A5" s="116" t="str">
        <f>H6</f>
        <v>2955 Outlook Way</v>
      </c>
      <c r="B5" s="117"/>
      <c r="C5" s="117"/>
      <c r="D5" s="111"/>
      <c r="F5" s="40"/>
      <c r="G5" s="34" t="s">
        <v>1</v>
      </c>
      <c r="H5" s="63">
        <v>44818</v>
      </c>
      <c r="I5" s="18"/>
      <c r="J5" s="18"/>
      <c r="K5" s="24"/>
    </row>
    <row r="6" spans="1:16" x14ac:dyDescent="0.25">
      <c r="A6" s="67"/>
      <c r="B6" s="68" t="s">
        <v>19</v>
      </c>
      <c r="C6" s="69"/>
      <c r="D6" s="98">
        <f>P452</f>
        <v>668538.22096304281</v>
      </c>
      <c r="F6" s="41"/>
      <c r="G6" s="35" t="s">
        <v>2</v>
      </c>
      <c r="H6" s="61" t="s">
        <v>98</v>
      </c>
      <c r="I6" s="17"/>
      <c r="J6" s="17"/>
      <c r="K6" s="25"/>
    </row>
    <row r="7" spans="1:16" x14ac:dyDescent="0.25">
      <c r="A7" s="70">
        <f>G453</f>
        <v>9.5000000000000001E-2</v>
      </c>
      <c r="B7" s="115" t="str">
        <f>H453</f>
        <v>Material Tax=</v>
      </c>
      <c r="C7" s="115"/>
      <c r="D7" s="99">
        <f>P453</f>
        <v>33987.760076168815</v>
      </c>
      <c r="F7" s="41"/>
      <c r="G7" s="35" t="s">
        <v>3</v>
      </c>
      <c r="H7" s="61" t="s">
        <v>99</v>
      </c>
      <c r="I7" s="17"/>
      <c r="J7" s="17"/>
      <c r="K7" s="25"/>
    </row>
    <row r="8" spans="1:16" x14ac:dyDescent="0.25">
      <c r="A8" s="70">
        <f>G454</f>
        <v>0.2</v>
      </c>
      <c r="B8" s="115" t="str">
        <f>H454</f>
        <v>Overhead and Profit=</v>
      </c>
      <c r="C8" s="115"/>
      <c r="D8" s="100">
        <f>P454</f>
        <v>133707.64419260851</v>
      </c>
      <c r="F8" s="41"/>
      <c r="G8" s="36"/>
      <c r="H8" s="44"/>
      <c r="I8" s="19"/>
      <c r="J8" s="19"/>
      <c r="K8" s="26"/>
    </row>
    <row r="9" spans="1:16" ht="16.5" thickBot="1" x14ac:dyDescent="0.3">
      <c r="A9" s="90"/>
      <c r="B9" s="118" t="str">
        <f>H455</f>
        <v>Total Bid=</v>
      </c>
      <c r="C9" s="118"/>
      <c r="D9" s="101">
        <f>P455</f>
        <v>836233.62523182016</v>
      </c>
      <c r="F9" s="41"/>
      <c r="G9" s="36" t="s">
        <v>36</v>
      </c>
      <c r="H9" s="102">
        <v>2958.86</v>
      </c>
      <c r="I9" s="19"/>
      <c r="J9" s="19"/>
      <c r="K9" s="26"/>
    </row>
    <row r="10" spans="1:16" x14ac:dyDescent="0.25">
      <c r="F10" s="41"/>
      <c r="G10" s="36" t="s">
        <v>37</v>
      </c>
      <c r="H10" s="102">
        <v>2958.86</v>
      </c>
      <c r="I10" s="19"/>
      <c r="J10" s="19"/>
      <c r="K10" s="26"/>
    </row>
    <row r="11" spans="1:16" ht="16.5" thickBot="1" x14ac:dyDescent="0.3">
      <c r="F11" s="42"/>
      <c r="G11" s="37" t="s">
        <v>38</v>
      </c>
      <c r="H11" s="103">
        <v>1</v>
      </c>
      <c r="I11" s="20"/>
      <c r="J11" s="20"/>
      <c r="K11" s="27"/>
    </row>
    <row r="12" spans="1:16" ht="16.5" thickBot="1" x14ac:dyDescent="0.3"/>
    <row r="13" spans="1:16" s="11" customFormat="1" ht="49.5" customHeight="1" thickBot="1" x14ac:dyDescent="0.3">
      <c r="A13" s="14" t="s">
        <v>22</v>
      </c>
      <c r="B13" s="15" t="s">
        <v>23</v>
      </c>
      <c r="C13" s="15" t="s">
        <v>17</v>
      </c>
      <c r="D13" s="15" t="s">
        <v>18</v>
      </c>
      <c r="E13" s="33" t="s">
        <v>24</v>
      </c>
      <c r="F13" s="43" t="s">
        <v>25</v>
      </c>
      <c r="G13" s="33" t="s">
        <v>26</v>
      </c>
      <c r="H13" s="15" t="s">
        <v>8</v>
      </c>
      <c r="I13" s="15" t="s">
        <v>27</v>
      </c>
      <c r="J13" s="15" t="s">
        <v>28</v>
      </c>
      <c r="K13" s="22" t="s">
        <v>29</v>
      </c>
      <c r="L13" s="22" t="s">
        <v>39</v>
      </c>
      <c r="M13" s="22" t="s">
        <v>31</v>
      </c>
      <c r="N13" s="22" t="s">
        <v>32</v>
      </c>
      <c r="O13" s="22" t="s">
        <v>40</v>
      </c>
      <c r="P13" s="30" t="s">
        <v>33</v>
      </c>
    </row>
    <row r="14" spans="1:16" ht="16.5" thickBot="1" x14ac:dyDescent="0.3">
      <c r="A14" s="87" t="str">
        <f>IF(G14&lt;&gt;"",1+MAX($A$13:A13),"")</f>
        <v/>
      </c>
      <c r="B14" s="83"/>
      <c r="C14" s="83" t="s">
        <v>63</v>
      </c>
      <c r="D14" s="81" t="s">
        <v>64</v>
      </c>
      <c r="E14" s="85"/>
      <c r="F14" s="86"/>
      <c r="G14" s="85"/>
      <c r="H14" s="85"/>
      <c r="I14" s="81"/>
      <c r="J14" s="81"/>
      <c r="K14" s="82"/>
      <c r="L14" s="82"/>
      <c r="M14" s="82"/>
      <c r="N14" s="82"/>
      <c r="O14" s="84"/>
      <c r="P14" s="88">
        <f>SUM(O15:O51)</f>
        <v>81219.609128878903</v>
      </c>
    </row>
    <row r="15" spans="1:16" x14ac:dyDescent="0.25">
      <c r="A15" s="45" t="str">
        <f>IF(G15&lt;&gt;"",1+MAX($A$13:A14),"")</f>
        <v/>
      </c>
      <c r="P15" s="46"/>
    </row>
    <row r="16" spans="1:16" x14ac:dyDescent="0.25">
      <c r="A16" s="45" t="str">
        <f>IF(G16&lt;&gt;"",1+MAX($A$13:A15),"")</f>
        <v/>
      </c>
      <c r="D16" s="58" t="s">
        <v>111</v>
      </c>
      <c r="J16" s="71"/>
      <c r="P16" s="46"/>
    </row>
    <row r="17" spans="1:16" x14ac:dyDescent="0.25">
      <c r="A17" s="60">
        <f>IF(G17&lt;&gt;"",1+MAX($A$13:A16),"")</f>
        <v>1</v>
      </c>
      <c r="B17" s="16" t="s">
        <v>302</v>
      </c>
      <c r="C17" s="16" t="s">
        <v>63</v>
      </c>
      <c r="D17" s="10" t="s">
        <v>113</v>
      </c>
      <c r="E17" s="31">
        <f>446.72*2*0.67/27</f>
        <v>22.17054814814815</v>
      </c>
      <c r="F17" s="39">
        <f>VLOOKUP(H17,'PROJECT SUMMARY'!$C$26:$D$32,2,0)</f>
        <v>0.05</v>
      </c>
      <c r="G17" s="31">
        <f>E17*(1+F17)</f>
        <v>23.279075555555558</v>
      </c>
      <c r="H17" s="16" t="s">
        <v>16</v>
      </c>
      <c r="I17" s="62">
        <v>3.2</v>
      </c>
      <c r="J17" s="71">
        <v>74.49304177777779</v>
      </c>
      <c r="K17" s="23">
        <v>52</v>
      </c>
      <c r="L17" s="23">
        <v>3873.638172444445</v>
      </c>
      <c r="M17" s="23">
        <v>206</v>
      </c>
      <c r="N17" s="23">
        <v>4795.489564444445</v>
      </c>
      <c r="O17" s="23">
        <v>8669.1277368888896</v>
      </c>
      <c r="P17" s="46"/>
    </row>
    <row r="18" spans="1:16" x14ac:dyDescent="0.25">
      <c r="A18" s="60">
        <f>IF(G18&lt;&gt;"",1+MAX($A$13:A17),"")</f>
        <v>2</v>
      </c>
      <c r="B18" s="16" t="s">
        <v>302</v>
      </c>
      <c r="C18" s="16" t="s">
        <v>63</v>
      </c>
      <c r="D18" s="10" t="s">
        <v>112</v>
      </c>
      <c r="E18" s="31">
        <f>446.72*3*1.043</f>
        <v>1397.7868799999999</v>
      </c>
      <c r="F18" s="39">
        <f>VLOOKUP(H18,'PROJECT SUMMARY'!$C$26:$D$32,2,0)</f>
        <v>0.05</v>
      </c>
      <c r="G18" s="31">
        <f>E18*(1+F18)</f>
        <v>1467.676224</v>
      </c>
      <c r="H18" s="16" t="s">
        <v>14</v>
      </c>
      <c r="I18" s="62">
        <v>1.4999999999999999E-2</v>
      </c>
      <c r="J18" s="71">
        <v>22.01514336</v>
      </c>
      <c r="K18" s="23">
        <v>52</v>
      </c>
      <c r="L18" s="23">
        <v>1144.7874547199999</v>
      </c>
      <c r="M18" s="23">
        <v>0.9</v>
      </c>
      <c r="N18" s="23">
        <v>1320.9086016000001</v>
      </c>
      <c r="O18" s="23">
        <v>2465.69605632</v>
      </c>
      <c r="P18" s="46"/>
    </row>
    <row r="19" spans="1:16" x14ac:dyDescent="0.25">
      <c r="A19" s="60" t="str">
        <f>IF(G19&lt;&gt;"",1+MAX($A$13:A18),"")</f>
        <v/>
      </c>
      <c r="I19" s="62"/>
      <c r="J19" s="71"/>
      <c r="P19" s="46"/>
    </row>
    <row r="20" spans="1:16" x14ac:dyDescent="0.25">
      <c r="A20" s="60" t="str">
        <f>IF(G20&lt;&gt;"",1+MAX($A$13:A19),"")</f>
        <v/>
      </c>
      <c r="D20" s="58" t="s">
        <v>114</v>
      </c>
      <c r="I20" s="62"/>
      <c r="J20" s="71"/>
      <c r="P20" s="46"/>
    </row>
    <row r="21" spans="1:16" x14ac:dyDescent="0.25">
      <c r="A21" s="60">
        <f>IF(G21&lt;&gt;"",1+MAX($A$13:A20),"")</f>
        <v>3</v>
      </c>
      <c r="B21" s="16" t="s">
        <v>302</v>
      </c>
      <c r="C21" s="16" t="s">
        <v>63</v>
      </c>
      <c r="D21" s="10" t="s">
        <v>115</v>
      </c>
      <c r="E21" s="31">
        <f>62.21*3*0.67/27</f>
        <v>4.6311888888888895</v>
      </c>
      <c r="F21" s="39">
        <f>VLOOKUP(H21,'PROJECT SUMMARY'!$C$26:$D$32,2,0)</f>
        <v>0.05</v>
      </c>
      <c r="G21" s="31">
        <f t="shared" ref="G21:G42" si="0">E21*(1+F21)</f>
        <v>4.8627483333333341</v>
      </c>
      <c r="H21" s="16" t="s">
        <v>16</v>
      </c>
      <c r="I21" s="62">
        <v>3.2</v>
      </c>
      <c r="J21" s="71">
        <f>I21*G21</f>
        <v>15.56079466666667</v>
      </c>
      <c r="K21" s="23">
        <v>52</v>
      </c>
      <c r="L21" s="23">
        <f>K21*J21</f>
        <v>809.16132266666682</v>
      </c>
      <c r="M21" s="23">
        <v>206</v>
      </c>
      <c r="N21" s="23">
        <f t="shared" ref="N21:N22" si="1">M21*G21</f>
        <v>1001.7261566666668</v>
      </c>
      <c r="O21" s="23">
        <f t="shared" ref="O21:O22" si="2">L21+N21</f>
        <v>1810.8874793333337</v>
      </c>
      <c r="P21" s="46"/>
    </row>
    <row r="22" spans="1:16" x14ac:dyDescent="0.25">
      <c r="A22" s="60">
        <f>IF(G22&lt;&gt;"",1+MAX($A$13:A21),"")</f>
        <v>4</v>
      </c>
      <c r="B22" s="16" t="s">
        <v>302</v>
      </c>
      <c r="C22" s="16" t="s">
        <v>63</v>
      </c>
      <c r="D22" s="10" t="s">
        <v>112</v>
      </c>
      <c r="E22" s="31">
        <f>62.21*4*1.043</f>
        <v>259.54012</v>
      </c>
      <c r="F22" s="39">
        <f>VLOOKUP(H22,'PROJECT SUMMARY'!$C$26:$D$32,2,0)</f>
        <v>0.05</v>
      </c>
      <c r="G22" s="31">
        <f t="shared" ref="G22" si="3">E22*(1+F22)</f>
        <v>272.51712600000002</v>
      </c>
      <c r="H22" s="16" t="s">
        <v>14</v>
      </c>
      <c r="I22" s="62">
        <v>1.4999999999999999E-2</v>
      </c>
      <c r="J22" s="71">
        <f>I22*G22</f>
        <v>4.0877568900000005</v>
      </c>
      <c r="K22" s="23">
        <v>52</v>
      </c>
      <c r="L22" s="23">
        <f>K22*J22</f>
        <v>212.56335828000002</v>
      </c>
      <c r="M22" s="23">
        <v>0.9</v>
      </c>
      <c r="N22" s="23">
        <f t="shared" si="1"/>
        <v>245.26541340000003</v>
      </c>
      <c r="O22" s="23">
        <f t="shared" si="2"/>
        <v>457.82877168000005</v>
      </c>
      <c r="P22" s="46"/>
    </row>
    <row r="23" spans="1:16" x14ac:dyDescent="0.25">
      <c r="A23" s="60" t="str">
        <f>IF(G23&lt;&gt;"",1+MAX($A$13:A22),"")</f>
        <v/>
      </c>
      <c r="B23" s="31"/>
      <c r="I23" s="62"/>
      <c r="J23" s="71"/>
      <c r="P23" s="46"/>
    </row>
    <row r="24" spans="1:16" x14ac:dyDescent="0.25">
      <c r="A24" s="60">
        <f>IF(G24&lt;&gt;"",1+MAX($A$13:A23),"")</f>
        <v>5</v>
      </c>
      <c r="B24" s="16" t="s">
        <v>302</v>
      </c>
      <c r="C24" s="16" t="s">
        <v>63</v>
      </c>
      <c r="D24" s="10" t="s">
        <v>116</v>
      </c>
      <c r="E24" s="31">
        <f>23.98*0.67*6.67/27</f>
        <v>3.9690452592592598</v>
      </c>
      <c r="F24" s="39">
        <f>VLOOKUP(H24,'PROJECT SUMMARY'!$C$26:$D$32,2,0)</f>
        <v>0.05</v>
      </c>
      <c r="G24" s="31">
        <f t="shared" si="0"/>
        <v>4.1674975222222228</v>
      </c>
      <c r="H24" s="16" t="s">
        <v>16</v>
      </c>
      <c r="I24" s="62">
        <v>3.2</v>
      </c>
      <c r="J24" s="71">
        <f>I24*G24</f>
        <v>13.335992071111114</v>
      </c>
      <c r="K24" s="23">
        <v>52</v>
      </c>
      <c r="L24" s="23">
        <f>K24*J24</f>
        <v>693.47158769777798</v>
      </c>
      <c r="M24" s="23">
        <v>206</v>
      </c>
      <c r="N24" s="23">
        <f t="shared" ref="N24:N25" si="4">M24*G24</f>
        <v>858.50448957777792</v>
      </c>
      <c r="O24" s="23">
        <f t="shared" ref="O24:O25" si="5">L24+N24</f>
        <v>1551.9760772755558</v>
      </c>
      <c r="P24" s="46"/>
    </row>
    <row r="25" spans="1:16" x14ac:dyDescent="0.25">
      <c r="A25" s="60">
        <f>IF(G25&lt;&gt;"",1+MAX($A$13:A24),"")</f>
        <v>6</v>
      </c>
      <c r="B25" s="16" t="s">
        <v>302</v>
      </c>
      <c r="C25" s="16" t="s">
        <v>63</v>
      </c>
      <c r="D25" s="10" t="s">
        <v>112</v>
      </c>
      <c r="E25" s="31">
        <f>23.98*9*1.043</f>
        <v>225.10025999999996</v>
      </c>
      <c r="F25" s="39">
        <f>VLOOKUP(H25,'PROJECT SUMMARY'!$C$26:$D$32,2,0)</f>
        <v>0.05</v>
      </c>
      <c r="G25" s="31">
        <f t="shared" ref="G25" si="6">E25*(1+F25)</f>
        <v>236.35527299999998</v>
      </c>
      <c r="H25" s="16" t="s">
        <v>14</v>
      </c>
      <c r="I25" s="62">
        <v>1.4999999999999999E-2</v>
      </c>
      <c r="J25" s="71">
        <f>I25*G25</f>
        <v>3.5453290949999996</v>
      </c>
      <c r="K25" s="23">
        <v>52</v>
      </c>
      <c r="L25" s="23">
        <f>K25*J25</f>
        <v>184.35711293999998</v>
      </c>
      <c r="M25" s="23">
        <v>0.9</v>
      </c>
      <c r="N25" s="23">
        <f t="shared" si="4"/>
        <v>212.71974569999998</v>
      </c>
      <c r="O25" s="23">
        <f t="shared" si="5"/>
        <v>397.07685863999995</v>
      </c>
      <c r="P25" s="46"/>
    </row>
    <row r="26" spans="1:16" x14ac:dyDescent="0.25">
      <c r="A26" s="60" t="str">
        <f>IF(G26&lt;&gt;"",1+MAX($A$13:A25),"")</f>
        <v/>
      </c>
      <c r="B26" s="31"/>
      <c r="I26" s="62"/>
      <c r="J26" s="71"/>
      <c r="P26" s="46"/>
    </row>
    <row r="27" spans="1:16" x14ac:dyDescent="0.25">
      <c r="A27" s="60">
        <f>IF(G27&lt;&gt;"",1+MAX($A$13:A26),"")</f>
        <v>7</v>
      </c>
      <c r="B27" s="16" t="s">
        <v>302</v>
      </c>
      <c r="C27" s="16" t="s">
        <v>63</v>
      </c>
      <c r="D27" s="10" t="s">
        <v>117</v>
      </c>
      <c r="E27" s="31">
        <f>266.76*2.33*0.67/27</f>
        <v>15.423667999999999</v>
      </c>
      <c r="F27" s="39">
        <f>VLOOKUP(H27,'PROJECT SUMMARY'!$C$26:$D$32,2,0)</f>
        <v>0.05</v>
      </c>
      <c r="G27" s="31">
        <f t="shared" si="0"/>
        <v>16.194851400000001</v>
      </c>
      <c r="H27" s="16" t="s">
        <v>16</v>
      </c>
      <c r="I27" s="62">
        <v>3.2</v>
      </c>
      <c r="J27" s="71">
        <f>I27*G27</f>
        <v>51.823524480000003</v>
      </c>
      <c r="K27" s="23">
        <v>52</v>
      </c>
      <c r="L27" s="23">
        <f>K27*J27</f>
        <v>2694.8232729600004</v>
      </c>
      <c r="M27" s="23">
        <v>206</v>
      </c>
      <c r="N27" s="23">
        <f t="shared" ref="N27:N28" si="7">M27*G27</f>
        <v>3336.1393884000004</v>
      </c>
      <c r="O27" s="23">
        <f t="shared" ref="O27:O28" si="8">L27+N27</f>
        <v>6030.9626613600012</v>
      </c>
      <c r="P27" s="46"/>
    </row>
    <row r="28" spans="1:16" x14ac:dyDescent="0.25">
      <c r="A28" s="60">
        <f>IF(G28&lt;&gt;"",1+MAX($A$13:A27),"")</f>
        <v>8</v>
      </c>
      <c r="B28" s="16" t="s">
        <v>302</v>
      </c>
      <c r="C28" s="16" t="s">
        <v>63</v>
      </c>
      <c r="D28" s="10" t="s">
        <v>112</v>
      </c>
      <c r="E28" s="31">
        <f>266.76*3*1.043</f>
        <v>834.69203999999991</v>
      </c>
      <c r="F28" s="39">
        <f>VLOOKUP(H28,'PROJECT SUMMARY'!$C$26:$D$32,2,0)</f>
        <v>0.05</v>
      </c>
      <c r="G28" s="31">
        <f t="shared" ref="G28" si="9">E28*(1+F28)</f>
        <v>876.4266419999999</v>
      </c>
      <c r="H28" s="16" t="s">
        <v>14</v>
      </c>
      <c r="I28" s="62">
        <v>1.4999999999999999E-2</v>
      </c>
      <c r="J28" s="71">
        <f>I28*G28</f>
        <v>13.146399629999998</v>
      </c>
      <c r="K28" s="23">
        <v>52</v>
      </c>
      <c r="L28" s="23">
        <f>K28*J28</f>
        <v>683.61278075999985</v>
      </c>
      <c r="M28" s="23">
        <v>0.9</v>
      </c>
      <c r="N28" s="23">
        <f t="shared" si="7"/>
        <v>788.78397779999989</v>
      </c>
      <c r="O28" s="23">
        <f t="shared" si="8"/>
        <v>1472.3967585599999</v>
      </c>
      <c r="P28" s="46"/>
    </row>
    <row r="29" spans="1:16" x14ac:dyDescent="0.25">
      <c r="A29" s="60" t="str">
        <f>IF(G29&lt;&gt;"",1+MAX($A$13:A28),"")</f>
        <v/>
      </c>
      <c r="B29" s="31"/>
      <c r="I29" s="62"/>
      <c r="J29" s="71"/>
      <c r="P29" s="46"/>
    </row>
    <row r="30" spans="1:16" x14ac:dyDescent="0.25">
      <c r="A30" s="60">
        <f>IF(G30&lt;&gt;"",1+MAX($A$13:A29),"")</f>
        <v>9</v>
      </c>
      <c r="B30" s="16" t="s">
        <v>302</v>
      </c>
      <c r="C30" s="16" t="s">
        <v>63</v>
      </c>
      <c r="D30" s="10" t="s">
        <v>118</v>
      </c>
      <c r="E30" s="31">
        <f>69.27*0.67*3.167/27</f>
        <v>5.4438266777777766</v>
      </c>
      <c r="F30" s="39">
        <f>VLOOKUP(H30,'PROJECT SUMMARY'!$C$26:$D$32,2,0)</f>
        <v>0.05</v>
      </c>
      <c r="G30" s="31">
        <f t="shared" si="0"/>
        <v>5.7160180116666659</v>
      </c>
      <c r="H30" s="16" t="s">
        <v>16</v>
      </c>
      <c r="I30" s="62">
        <v>3.2</v>
      </c>
      <c r="J30" s="71">
        <f>I30*G30</f>
        <v>18.291257637333331</v>
      </c>
      <c r="K30" s="23">
        <v>52</v>
      </c>
      <c r="L30" s="23">
        <f>K30*J30</f>
        <v>951.14539714133321</v>
      </c>
      <c r="M30" s="23">
        <v>206</v>
      </c>
      <c r="N30" s="23">
        <f t="shared" ref="N30:N31" si="10">M30*G30</f>
        <v>1177.4997104033332</v>
      </c>
      <c r="O30" s="23">
        <f t="shared" ref="O30:O31" si="11">L30+N30</f>
        <v>2128.6451075446666</v>
      </c>
      <c r="P30" s="46"/>
    </row>
    <row r="31" spans="1:16" x14ac:dyDescent="0.25">
      <c r="A31" s="60">
        <f>IF(G31&lt;&gt;"",1+MAX($A$13:A30),"")</f>
        <v>10</v>
      </c>
      <c r="B31" s="16" t="s">
        <v>302</v>
      </c>
      <c r="C31" s="16" t="s">
        <v>63</v>
      </c>
      <c r="D31" s="10" t="s">
        <v>112</v>
      </c>
      <c r="E31" s="31">
        <f>69.27*4*1.043</f>
        <v>288.99443999999994</v>
      </c>
      <c r="F31" s="39">
        <f>VLOOKUP(H31,'PROJECT SUMMARY'!$C$26:$D$32,2,0)</f>
        <v>0.05</v>
      </c>
      <c r="G31" s="31">
        <f t="shared" ref="G31" si="12">E31*(1+F31)</f>
        <v>303.44416199999995</v>
      </c>
      <c r="H31" s="16" t="s">
        <v>14</v>
      </c>
      <c r="I31" s="62">
        <v>1.4999999999999999E-2</v>
      </c>
      <c r="J31" s="71">
        <f>I31*G31</f>
        <v>4.5516624299999995</v>
      </c>
      <c r="K31" s="23">
        <v>52</v>
      </c>
      <c r="L31" s="23">
        <f>K31*J31</f>
        <v>236.68644635999996</v>
      </c>
      <c r="M31" s="23">
        <v>0.9</v>
      </c>
      <c r="N31" s="23">
        <f t="shared" si="10"/>
        <v>273.09974579999994</v>
      </c>
      <c r="O31" s="23">
        <f t="shared" si="11"/>
        <v>509.78619215999993</v>
      </c>
      <c r="P31" s="46"/>
    </row>
    <row r="32" spans="1:16" x14ac:dyDescent="0.25">
      <c r="A32" s="60" t="str">
        <f>IF(G32&lt;&gt;"",1+MAX($A$13:A31),"")</f>
        <v/>
      </c>
      <c r="B32" s="31"/>
      <c r="I32" s="62"/>
      <c r="J32" s="71"/>
      <c r="P32" s="46"/>
    </row>
    <row r="33" spans="1:16" x14ac:dyDescent="0.25">
      <c r="A33" s="60">
        <f>IF(G33&lt;&gt;"",1+MAX($A$13:A32),"")</f>
        <v>11</v>
      </c>
      <c r="B33" s="16" t="s">
        <v>302</v>
      </c>
      <c r="C33" s="16" t="s">
        <v>63</v>
      </c>
      <c r="D33" s="10" t="s">
        <v>119</v>
      </c>
      <c r="E33" s="31">
        <f>24.52*0.67*7/27</f>
        <v>4.2592148148148148</v>
      </c>
      <c r="F33" s="39">
        <f>VLOOKUP(H33,'PROJECT SUMMARY'!$C$26:$D$32,2,0)</f>
        <v>0.05</v>
      </c>
      <c r="G33" s="31">
        <f t="shared" si="0"/>
        <v>4.4721755555555553</v>
      </c>
      <c r="H33" s="16" t="s">
        <v>16</v>
      </c>
      <c r="I33" s="62">
        <v>3.2</v>
      </c>
      <c r="J33" s="71">
        <f>I33*G33</f>
        <v>14.310961777777777</v>
      </c>
      <c r="K33" s="23">
        <v>52</v>
      </c>
      <c r="L33" s="23">
        <f>K33*J33</f>
        <v>744.17001244444441</v>
      </c>
      <c r="M33" s="23">
        <v>206</v>
      </c>
      <c r="N33" s="23">
        <f t="shared" ref="N33:N34" si="13">M33*G33</f>
        <v>921.26816444444444</v>
      </c>
      <c r="O33" s="23">
        <f t="shared" ref="O33:O34" si="14">L33+N33</f>
        <v>1665.4381768888888</v>
      </c>
      <c r="P33" s="46"/>
    </row>
    <row r="34" spans="1:16" x14ac:dyDescent="0.25">
      <c r="A34" s="60">
        <f>IF(G34&lt;&gt;"",1+MAX($A$13:A33),"")</f>
        <v>12</v>
      </c>
      <c r="B34" s="16" t="s">
        <v>302</v>
      </c>
      <c r="C34" s="16" t="s">
        <v>63</v>
      </c>
      <c r="D34" s="59" t="s">
        <v>112</v>
      </c>
      <c r="E34" s="31">
        <f>24.52*9.3*1.043</f>
        <v>237.84154799999999</v>
      </c>
      <c r="F34" s="39">
        <f>VLOOKUP(H34,'PROJECT SUMMARY'!$C$26:$D$32,2,0)</f>
        <v>0.05</v>
      </c>
      <c r="G34" s="31">
        <f t="shared" si="0"/>
        <v>249.73362539999999</v>
      </c>
      <c r="H34" s="16" t="s">
        <v>14</v>
      </c>
      <c r="I34" s="62">
        <v>1.4999999999999999E-2</v>
      </c>
      <c r="J34" s="71">
        <f>I34*G34</f>
        <v>3.7460043809999997</v>
      </c>
      <c r="K34" s="23">
        <v>52</v>
      </c>
      <c r="L34" s="23">
        <f>K34*J34</f>
        <v>194.79222781199999</v>
      </c>
      <c r="M34" s="23">
        <v>0.9</v>
      </c>
      <c r="N34" s="23">
        <f t="shared" si="13"/>
        <v>224.76026286000001</v>
      </c>
      <c r="O34" s="23">
        <f t="shared" si="14"/>
        <v>419.55249067199998</v>
      </c>
      <c r="P34" s="46"/>
    </row>
    <row r="35" spans="1:16" x14ac:dyDescent="0.25">
      <c r="A35" s="60" t="str">
        <f>IF(G35&lt;&gt;"",1+MAX($A$13:A34),"")</f>
        <v/>
      </c>
      <c r="D35" s="59"/>
      <c r="I35" s="62"/>
      <c r="J35" s="71"/>
      <c r="P35" s="46"/>
    </row>
    <row r="36" spans="1:16" x14ac:dyDescent="0.25">
      <c r="A36" s="60">
        <f>IF(G36&lt;&gt;"",1+MAX($A$13:A35),"")</f>
        <v>13</v>
      </c>
      <c r="B36" s="16" t="s">
        <v>302</v>
      </c>
      <c r="C36" s="16" t="s">
        <v>63</v>
      </c>
      <c r="D36" s="10" t="s">
        <v>276</v>
      </c>
      <c r="E36" s="31">
        <v>1012.56</v>
      </c>
      <c r="F36" s="39">
        <f>VLOOKUP(H36,'PROJECT SUMMARY'!$C$26:$D$32,2,0)</f>
        <v>0.05</v>
      </c>
      <c r="G36" s="31">
        <f t="shared" ref="G36" si="15">E36*(1+F36)</f>
        <v>1063.1879999999999</v>
      </c>
      <c r="H36" s="16" t="s">
        <v>12</v>
      </c>
      <c r="I36" s="62">
        <v>1.4999999999999999E-2</v>
      </c>
      <c r="J36" s="71">
        <f t="shared" ref="J36" si="16">I36*G36</f>
        <v>15.947819999999998</v>
      </c>
      <c r="K36" s="23">
        <v>52</v>
      </c>
      <c r="L36" s="23">
        <f t="shared" ref="L36" si="17">K36*J36</f>
        <v>829.28663999999992</v>
      </c>
      <c r="M36" s="23">
        <v>1.97</v>
      </c>
      <c r="N36" s="23">
        <f t="shared" ref="N36" si="18">M36*G36</f>
        <v>2094.4803599999996</v>
      </c>
      <c r="O36" s="23">
        <f t="shared" ref="O36" si="19">L36+N36</f>
        <v>2923.7669999999994</v>
      </c>
      <c r="P36" s="46"/>
    </row>
    <row r="37" spans="1:16" x14ac:dyDescent="0.25">
      <c r="A37" s="60" t="str">
        <f>IF(G37&lt;&gt;"",1+MAX($A$13:A36),"")</f>
        <v/>
      </c>
      <c r="I37" s="62"/>
      <c r="J37" s="71"/>
      <c r="P37" s="46"/>
    </row>
    <row r="38" spans="1:16" x14ac:dyDescent="0.25">
      <c r="A38" s="60" t="str">
        <f>IF(G38&lt;&gt;"",1+MAX($A$13:A37),"")</f>
        <v/>
      </c>
      <c r="D38" s="58" t="s">
        <v>65</v>
      </c>
      <c r="I38" s="62"/>
      <c r="J38" s="71"/>
      <c r="P38" s="46"/>
    </row>
    <row r="39" spans="1:16" x14ac:dyDescent="0.25">
      <c r="A39" s="60">
        <f>IF(G39&lt;&gt;"",1+MAX($A$13:A38),"")</f>
        <v>14</v>
      </c>
      <c r="B39" s="16" t="s">
        <v>302</v>
      </c>
      <c r="C39" s="16" t="s">
        <v>63</v>
      </c>
      <c r="D39" s="59" t="s">
        <v>120</v>
      </c>
      <c r="E39" s="31">
        <f>3138.47*0.33/27</f>
        <v>38.359077777777777</v>
      </c>
      <c r="F39" s="39">
        <f>VLOOKUP(H39,'PROJECT SUMMARY'!$C$26:$D$32,2,0)</f>
        <v>0.05</v>
      </c>
      <c r="G39" s="31">
        <f t="shared" si="0"/>
        <v>40.277031666666666</v>
      </c>
      <c r="H39" s="16" t="s">
        <v>16</v>
      </c>
      <c r="I39" s="62">
        <v>3.2</v>
      </c>
      <c r="J39" s="71">
        <f>I39*G39</f>
        <v>128.88650133333334</v>
      </c>
      <c r="K39" s="23">
        <v>52</v>
      </c>
      <c r="L39" s="23">
        <f>K39*J39</f>
        <v>6702.098069333334</v>
      </c>
      <c r="M39" s="23">
        <v>206</v>
      </c>
      <c r="N39" s="23">
        <f t="shared" ref="N39:N42" si="20">M39*G39</f>
        <v>8297.0685233333334</v>
      </c>
      <c r="O39" s="23">
        <f t="shared" ref="O39:O42" si="21">L39+N39</f>
        <v>14999.166592666668</v>
      </c>
      <c r="P39" s="46"/>
    </row>
    <row r="40" spans="1:16" x14ac:dyDescent="0.25">
      <c r="A40" s="60">
        <f>IF(G40&lt;&gt;"",1+MAX($A$13:A39),"")</f>
        <v>15</v>
      </c>
      <c r="B40" s="16" t="s">
        <v>302</v>
      </c>
      <c r="C40" s="16" t="s">
        <v>63</v>
      </c>
      <c r="D40" s="10" t="s">
        <v>276</v>
      </c>
      <c r="E40" s="31">
        <v>2238.23</v>
      </c>
      <c r="F40" s="39">
        <f>VLOOKUP(H40,'PROJECT SUMMARY'!$C$26:$D$32,2,0)</f>
        <v>0.05</v>
      </c>
      <c r="G40" s="31">
        <f t="shared" si="0"/>
        <v>2350.1415000000002</v>
      </c>
      <c r="H40" s="16" t="s">
        <v>12</v>
      </c>
      <c r="I40" s="62">
        <v>1.4999999999999999E-2</v>
      </c>
      <c r="J40" s="71">
        <f t="shared" ref="J40:J42" si="22">I40*G40</f>
        <v>35.252122499999999</v>
      </c>
      <c r="K40" s="23">
        <v>52</v>
      </c>
      <c r="L40" s="23">
        <f t="shared" ref="L40:L42" si="23">K40*J40</f>
        <v>1833.1103699999999</v>
      </c>
      <c r="M40" s="23">
        <v>1.97</v>
      </c>
      <c r="N40" s="23">
        <f t="shared" si="20"/>
        <v>4629.7787550000003</v>
      </c>
      <c r="O40" s="23">
        <f t="shared" si="21"/>
        <v>6462.8891249999997</v>
      </c>
      <c r="P40" s="46"/>
    </row>
    <row r="41" spans="1:16" x14ac:dyDescent="0.25">
      <c r="A41" s="60">
        <f>IF(G41&lt;&gt;"",1+MAX($A$13:A40),"")</f>
        <v>16</v>
      </c>
      <c r="B41" s="16" t="s">
        <v>302</v>
      </c>
      <c r="C41" s="16" t="s">
        <v>63</v>
      </c>
      <c r="D41" s="10" t="s">
        <v>277</v>
      </c>
      <c r="E41" s="31">
        <v>2238.23</v>
      </c>
      <c r="F41" s="39">
        <f>VLOOKUP(H41,'PROJECT SUMMARY'!$C$26:$D$32,2,0)</f>
        <v>0.05</v>
      </c>
      <c r="G41" s="31">
        <f t="shared" ref="G41" si="24">E41*(1+F41)</f>
        <v>2350.1415000000002</v>
      </c>
      <c r="H41" s="16" t="s">
        <v>12</v>
      </c>
      <c r="I41" s="62">
        <v>0.10384615384615384</v>
      </c>
      <c r="J41" s="71">
        <f t="shared" si="22"/>
        <v>244.05315576923076</v>
      </c>
      <c r="K41" s="23">
        <v>52</v>
      </c>
      <c r="L41" s="23">
        <f t="shared" si="23"/>
        <v>12690.764099999999</v>
      </c>
      <c r="M41" s="23">
        <v>3.6</v>
      </c>
      <c r="N41" s="23">
        <f t="shared" si="20"/>
        <v>8460.5094000000008</v>
      </c>
      <c r="O41" s="23">
        <f t="shared" si="21"/>
        <v>21151.273499999999</v>
      </c>
      <c r="P41" s="46"/>
    </row>
    <row r="42" spans="1:16" x14ac:dyDescent="0.25">
      <c r="A42" s="60">
        <f>IF(G42&lt;&gt;"",1+MAX($A$13:A41),"")</f>
        <v>17</v>
      </c>
      <c r="B42" s="16" t="s">
        <v>302</v>
      </c>
      <c r="C42" s="16" t="s">
        <v>63</v>
      </c>
      <c r="D42" s="59" t="s">
        <v>121</v>
      </c>
      <c r="E42" s="31">
        <f>3138.47</f>
        <v>3138.47</v>
      </c>
      <c r="F42" s="39">
        <f>VLOOKUP(H42,'PROJECT SUMMARY'!$C$26:$D$32,2,0)</f>
        <v>0.05</v>
      </c>
      <c r="G42" s="31">
        <f t="shared" si="0"/>
        <v>3295.3935000000001</v>
      </c>
      <c r="H42" s="16" t="s">
        <v>12</v>
      </c>
      <c r="I42" s="62">
        <v>7.0000000000000001E-3</v>
      </c>
      <c r="J42" s="71">
        <f t="shared" si="22"/>
        <v>23.067754500000003</v>
      </c>
      <c r="K42" s="23">
        <v>52</v>
      </c>
      <c r="L42" s="23">
        <f t="shared" si="23"/>
        <v>1199.5232340000002</v>
      </c>
      <c r="M42" s="23">
        <v>0.32600000000000001</v>
      </c>
      <c r="N42" s="23">
        <f t="shared" si="20"/>
        <v>1074.2982810000001</v>
      </c>
      <c r="O42" s="23">
        <f t="shared" si="21"/>
        <v>2273.8215150000005</v>
      </c>
      <c r="P42" s="46"/>
    </row>
    <row r="43" spans="1:16" x14ac:dyDescent="0.25">
      <c r="A43" s="60" t="str">
        <f>IF(G43&lt;&gt;"",1+MAX($A$13:A42),"")</f>
        <v/>
      </c>
      <c r="D43" s="59"/>
      <c r="I43" s="62"/>
      <c r="J43" s="71"/>
      <c r="P43" s="46"/>
    </row>
    <row r="44" spans="1:16" x14ac:dyDescent="0.25">
      <c r="A44" s="60" t="str">
        <f>IF(G44&lt;&gt;"",1+MAX($A$13:A43),"")</f>
        <v/>
      </c>
      <c r="D44" s="58" t="s">
        <v>66</v>
      </c>
      <c r="I44" s="62"/>
      <c r="J44" s="71"/>
      <c r="P44" s="46"/>
    </row>
    <row r="45" spans="1:16" x14ac:dyDescent="0.25">
      <c r="A45" s="60">
        <f>IF(G45&lt;&gt;"",1+MAX($A$13:A44),"")</f>
        <v>18</v>
      </c>
      <c r="C45" s="16" t="s">
        <v>63</v>
      </c>
      <c r="D45" s="59" t="s">
        <v>124</v>
      </c>
      <c r="E45" s="31">
        <v>3022</v>
      </c>
      <c r="F45" s="39">
        <f>VLOOKUP(H45,'PROJECT SUMMARY'!$C$26:$D$32,2,0)</f>
        <v>0.05</v>
      </c>
      <c r="G45" s="31">
        <f>E45*(1+F45)</f>
        <v>3173.1</v>
      </c>
      <c r="H45" s="16" t="s">
        <v>12</v>
      </c>
      <c r="I45" s="62">
        <v>0.02</v>
      </c>
      <c r="J45" s="71">
        <f>I45*G45</f>
        <v>63.461999999999996</v>
      </c>
      <c r="K45" s="23">
        <v>52</v>
      </c>
      <c r="L45" s="23">
        <f>K45*J45</f>
        <v>3300.0239999999999</v>
      </c>
      <c r="N45" s="23">
        <f>M45*G45</f>
        <v>0</v>
      </c>
      <c r="O45" s="23">
        <f>L45+N45</f>
        <v>3300.0239999999999</v>
      </c>
      <c r="P45" s="46"/>
    </row>
    <row r="46" spans="1:16" x14ac:dyDescent="0.25">
      <c r="A46" s="60" t="str">
        <f>IF(G46&lt;&gt;"",1+MAX($A$13:A45),"")</f>
        <v/>
      </c>
      <c r="D46" s="59"/>
      <c r="I46" s="62"/>
      <c r="J46" s="71"/>
      <c r="P46" s="46"/>
    </row>
    <row r="47" spans="1:16" x14ac:dyDescent="0.25">
      <c r="A47" s="60" t="str">
        <f>IF(G47&lt;&gt;"",1+MAX($A$13:A46),"")</f>
        <v/>
      </c>
      <c r="D47" s="58" t="s">
        <v>66</v>
      </c>
      <c r="I47" s="62"/>
      <c r="J47" s="71"/>
      <c r="P47" s="46"/>
    </row>
    <row r="48" spans="1:16" x14ac:dyDescent="0.25">
      <c r="A48" s="60">
        <f>IF(G48&lt;&gt;"",1+MAX($A$13:A47),"")</f>
        <v>19</v>
      </c>
      <c r="C48" s="16" t="s">
        <v>63</v>
      </c>
      <c r="D48" s="59" t="s">
        <v>67</v>
      </c>
      <c r="E48" s="31">
        <v>94.25</v>
      </c>
      <c r="F48" s="39">
        <f>VLOOKUP(H48,'PROJECT SUMMARY'!$C$26:$D$32,2,0)</f>
        <v>0.05</v>
      </c>
      <c r="G48" s="31">
        <f>E48*(1+F48)</f>
        <v>98.962500000000006</v>
      </c>
      <c r="H48" s="16" t="s">
        <v>16</v>
      </c>
      <c r="I48" s="62">
        <v>0.25</v>
      </c>
      <c r="J48" s="71">
        <f>I48*G48</f>
        <v>24.740625000000001</v>
      </c>
      <c r="K48" s="23">
        <v>52</v>
      </c>
      <c r="L48" s="23">
        <f>K48*J48</f>
        <v>1286.5125</v>
      </c>
      <c r="N48" s="23">
        <f>M48*G48</f>
        <v>0</v>
      </c>
      <c r="O48" s="23">
        <f>L48+N48</f>
        <v>1286.5125</v>
      </c>
      <c r="P48" s="46"/>
    </row>
    <row r="49" spans="1:16" x14ac:dyDescent="0.25">
      <c r="A49" s="60">
        <f>IF(G49&lt;&gt;"",1+MAX($A$13:A48),"")</f>
        <v>20</v>
      </c>
      <c r="C49" s="16" t="s">
        <v>63</v>
      </c>
      <c r="D49" s="59" t="s">
        <v>122</v>
      </c>
      <c r="E49" s="31">
        <f>3244/2000</f>
        <v>1.6220000000000001</v>
      </c>
      <c r="F49" s="39">
        <f>VLOOKUP(H49,'PROJECT SUMMARY'!$C$26:$D$32,2,0)</f>
        <v>0.05</v>
      </c>
      <c r="G49" s="31">
        <f>E49*(1+F49)</f>
        <v>1.7031000000000003</v>
      </c>
      <c r="H49" s="16" t="s">
        <v>15</v>
      </c>
      <c r="I49" s="62">
        <v>4</v>
      </c>
      <c r="J49" s="71">
        <f>I49*G49</f>
        <v>6.8124000000000011</v>
      </c>
      <c r="K49" s="23">
        <v>52</v>
      </c>
      <c r="L49" s="23">
        <f>K49*J49</f>
        <v>354.24480000000005</v>
      </c>
      <c r="N49" s="23">
        <f>M49*G49</f>
        <v>0</v>
      </c>
      <c r="O49" s="23">
        <f>L49+N49</f>
        <v>354.24480000000005</v>
      </c>
      <c r="P49" s="46"/>
    </row>
    <row r="50" spans="1:16" x14ac:dyDescent="0.25">
      <c r="A50" s="60">
        <f>IF(G50&lt;&gt;"",1+MAX($A$13:A49),"")</f>
        <v>21</v>
      </c>
      <c r="C50" s="16" t="s">
        <v>63</v>
      </c>
      <c r="D50" s="59" t="s">
        <v>123</v>
      </c>
      <c r="E50" s="31">
        <f>3138.47*0.5/27*1.4</f>
        <v>81.367740740740729</v>
      </c>
      <c r="F50" s="39">
        <f>VLOOKUP(H50,'PROJECT SUMMARY'!$C$26:$D$32,2,0)</f>
        <v>0.05</v>
      </c>
      <c r="G50" s="31">
        <f>E50*(1+F50)</f>
        <v>85.43612777777777</v>
      </c>
      <c r="H50" s="16" t="s">
        <v>15</v>
      </c>
      <c r="I50" s="62">
        <v>0.2</v>
      </c>
      <c r="J50" s="71">
        <f>I50*G50</f>
        <v>17.087225555555555</v>
      </c>
      <c r="K50" s="23">
        <v>52</v>
      </c>
      <c r="L50" s="23">
        <f>K50*J50</f>
        <v>888.53572888888891</v>
      </c>
      <c r="N50" s="23">
        <f>M50*G50</f>
        <v>0</v>
      </c>
      <c r="O50" s="23">
        <f>L50+N50</f>
        <v>888.53572888888891</v>
      </c>
      <c r="P50" s="46"/>
    </row>
    <row r="51" spans="1:16" ht="16.5" thickBot="1" x14ac:dyDescent="0.3">
      <c r="A51" s="45" t="str">
        <f>IF(G51&lt;&gt;"",1+MAX($A$13:A50),"")</f>
        <v/>
      </c>
      <c r="P51" s="46"/>
    </row>
    <row r="52" spans="1:16" ht="16.5" thickBot="1" x14ac:dyDescent="0.3">
      <c r="A52" s="87" t="str">
        <f>IF(G52&lt;&gt;"",1+MAX($A$13:A51),"")</f>
        <v/>
      </c>
      <c r="B52" s="83"/>
      <c r="C52" s="83" t="s">
        <v>43</v>
      </c>
      <c r="D52" s="81" t="s">
        <v>44</v>
      </c>
      <c r="E52" s="85"/>
      <c r="F52" s="86"/>
      <c r="G52" s="85"/>
      <c r="H52" s="85"/>
      <c r="I52" s="81"/>
      <c r="J52" s="81"/>
      <c r="K52" s="82"/>
      <c r="L52" s="82"/>
      <c r="M52" s="82"/>
      <c r="N52" s="82"/>
      <c r="O52" s="84"/>
      <c r="P52" s="88">
        <f>SUM(O53:O62)</f>
        <v>29647.726920000008</v>
      </c>
    </row>
    <row r="53" spans="1:16" x14ac:dyDescent="0.25">
      <c r="A53" s="45" t="str">
        <f>IF(G53&lt;&gt;"",1+MAX($A$13:A52),"")</f>
        <v/>
      </c>
      <c r="P53" s="46"/>
    </row>
    <row r="54" spans="1:16" x14ac:dyDescent="0.25">
      <c r="A54" s="60" t="str">
        <f>IF(G54&lt;&gt;"",1+MAX($A$13:A53),"")</f>
        <v/>
      </c>
      <c r="D54" s="58" t="s">
        <v>74</v>
      </c>
      <c r="I54" s="62"/>
      <c r="J54" s="71"/>
      <c r="P54" s="46"/>
    </row>
    <row r="55" spans="1:16" x14ac:dyDescent="0.25">
      <c r="A55" s="60">
        <f>IF(G55&lt;&gt;"",1+MAX($A$13:A54),"")</f>
        <v>22</v>
      </c>
      <c r="B55" s="16" t="s">
        <v>302</v>
      </c>
      <c r="C55" s="16" t="s">
        <v>43</v>
      </c>
      <c r="D55" s="10" t="s">
        <v>125</v>
      </c>
      <c r="E55" s="31">
        <v>11.01</v>
      </c>
      <c r="F55" s="39">
        <f>VLOOKUP(H55,'PROJECT SUMMARY'!$C$26:$D$32,2,0)</f>
        <v>0.05</v>
      </c>
      <c r="G55" s="31">
        <f t="shared" ref="G55" si="25">E55*(1+F55)</f>
        <v>11.560500000000001</v>
      </c>
      <c r="H55" s="16" t="s">
        <v>11</v>
      </c>
      <c r="I55" s="62">
        <v>0.3</v>
      </c>
      <c r="J55" s="71">
        <f t="shared" ref="J55" si="26">I55*G55</f>
        <v>3.4681500000000001</v>
      </c>
      <c r="K55" s="23">
        <v>65</v>
      </c>
      <c r="L55" s="23">
        <f t="shared" ref="L55" si="27">K55*J55</f>
        <v>225.42975000000001</v>
      </c>
      <c r="M55" s="23">
        <v>16.66</v>
      </c>
      <c r="N55" s="23">
        <f t="shared" ref="N55" si="28">M55*G55</f>
        <v>192.59793000000002</v>
      </c>
      <c r="O55" s="23">
        <f t="shared" ref="O55" si="29">L55+N55</f>
        <v>418.02768000000003</v>
      </c>
      <c r="P55" s="46"/>
    </row>
    <row r="56" spans="1:16" x14ac:dyDescent="0.25">
      <c r="A56" s="45" t="str">
        <f>IF(G56&lt;&gt;"",1+MAX($A$13:A55),"")</f>
        <v/>
      </c>
      <c r="P56" s="46"/>
    </row>
    <row r="57" spans="1:16" x14ac:dyDescent="0.25">
      <c r="A57" s="60" t="str">
        <f>IF(G57&lt;&gt;"",1+MAX($A$13:A56),"")</f>
        <v/>
      </c>
      <c r="D57" s="58" t="s">
        <v>75</v>
      </c>
      <c r="I57" s="62"/>
      <c r="J57" s="71"/>
      <c r="P57" s="46"/>
    </row>
    <row r="58" spans="1:16" x14ac:dyDescent="0.25">
      <c r="A58" s="60">
        <f>IF(G58&lt;&gt;"",1+MAX($A$13:A57),"")</f>
        <v>23</v>
      </c>
      <c r="B58" s="16" t="s">
        <v>303</v>
      </c>
      <c r="C58" s="16" t="s">
        <v>43</v>
      </c>
      <c r="D58" s="10" t="s">
        <v>198</v>
      </c>
      <c r="E58" s="31">
        <f>112.23*53</f>
        <v>5948.1900000000005</v>
      </c>
      <c r="F58" s="39">
        <f>VLOOKUP(H58,'PROJECT SUMMARY'!$C$26:$D$32,2,0)</f>
        <v>0.05</v>
      </c>
      <c r="G58" s="31">
        <f t="shared" ref="G58" si="30">E58*(1+F58)</f>
        <v>6245.5995000000012</v>
      </c>
      <c r="H58" s="16" t="s">
        <v>14</v>
      </c>
      <c r="I58" s="62">
        <v>0.02</v>
      </c>
      <c r="J58" s="71">
        <f t="shared" ref="J58" si="31">I58*G58</f>
        <v>124.91199000000003</v>
      </c>
      <c r="K58" s="23">
        <v>65</v>
      </c>
      <c r="L58" s="23">
        <f t="shared" ref="L58" si="32">K58*J58</f>
        <v>8119.2793500000016</v>
      </c>
      <c r="M58" s="23">
        <v>2.2200000000000002</v>
      </c>
      <c r="N58" s="23">
        <f t="shared" ref="N58" si="33">M58*G58</f>
        <v>13865.230890000004</v>
      </c>
      <c r="O58" s="23">
        <f t="shared" ref="O58" si="34">L58+N58</f>
        <v>21984.510240000007</v>
      </c>
      <c r="P58" s="46"/>
    </row>
    <row r="59" spans="1:16" x14ac:dyDescent="0.25">
      <c r="A59" s="60" t="str">
        <f>IF(G59&lt;&gt;"",1+MAX($A$13:A58),"")</f>
        <v/>
      </c>
      <c r="I59" s="62"/>
      <c r="J59" s="71"/>
      <c r="P59" s="46"/>
    </row>
    <row r="60" spans="1:16" x14ac:dyDescent="0.25">
      <c r="A60" s="60" t="str">
        <f>IF(G60&lt;&gt;"",1+MAX($A$13:A59),"")</f>
        <v/>
      </c>
      <c r="D60" s="58" t="s">
        <v>156</v>
      </c>
      <c r="I60" s="62"/>
      <c r="J60" s="71"/>
      <c r="P60" s="46"/>
    </row>
    <row r="61" spans="1:16" x14ac:dyDescent="0.25">
      <c r="A61" s="60">
        <f>IF(G61&lt;&gt;"",1+MAX($A$13:A60),"")</f>
        <v>24</v>
      </c>
      <c r="B61" s="16" t="s">
        <v>303</v>
      </c>
      <c r="C61" s="16" t="s">
        <v>43</v>
      </c>
      <c r="D61" s="10" t="s">
        <v>155</v>
      </c>
      <c r="E61" s="31">
        <v>70.41</v>
      </c>
      <c r="F61" s="39">
        <f>VLOOKUP(H61,'PROJECT SUMMARY'!$C$26:$D$32,2,0)</f>
        <v>0.05</v>
      </c>
      <c r="G61" s="31">
        <f t="shared" ref="G61" si="35">E61*(1+F61)</f>
        <v>73.930499999999995</v>
      </c>
      <c r="H61" s="16" t="s">
        <v>14</v>
      </c>
      <c r="I61" s="62">
        <v>0.8</v>
      </c>
      <c r="J61" s="71">
        <f t="shared" ref="J61" si="36">I61*G61</f>
        <v>59.144399999999997</v>
      </c>
      <c r="K61" s="23">
        <v>65</v>
      </c>
      <c r="L61" s="23">
        <f t="shared" ref="L61" si="37">K61*J61</f>
        <v>3844.386</v>
      </c>
      <c r="M61" s="23">
        <v>46</v>
      </c>
      <c r="N61" s="23">
        <f t="shared" ref="N61" si="38">M61*G61</f>
        <v>3400.8029999999999</v>
      </c>
      <c r="O61" s="23">
        <f t="shared" ref="O61" si="39">L61+N61</f>
        <v>7245.1890000000003</v>
      </c>
      <c r="P61" s="46"/>
    </row>
    <row r="62" spans="1:16" ht="16.5" thickBot="1" x14ac:dyDescent="0.3">
      <c r="A62" s="45" t="str">
        <f>IF(G62&lt;&gt;"",1+MAX($A$13:A61),"")</f>
        <v/>
      </c>
      <c r="P62" s="46"/>
    </row>
    <row r="63" spans="1:16" ht="16.5" thickBot="1" x14ac:dyDescent="0.3">
      <c r="A63" s="87" t="str">
        <f>IF(G63&lt;&gt;"",1+MAX($A$13:A62),"")</f>
        <v/>
      </c>
      <c r="B63" s="83"/>
      <c r="C63" s="83" t="s">
        <v>87</v>
      </c>
      <c r="D63" s="81" t="s">
        <v>88</v>
      </c>
      <c r="E63" s="85"/>
      <c r="F63" s="86"/>
      <c r="G63" s="85"/>
      <c r="H63" s="85"/>
      <c r="I63" s="81"/>
      <c r="J63" s="81"/>
      <c r="K63" s="82"/>
      <c r="L63" s="82"/>
      <c r="M63" s="82"/>
      <c r="N63" s="82"/>
      <c r="O63" s="84"/>
      <c r="P63" s="88">
        <f>SUM(O64:O82)</f>
        <v>52935.265005000008</v>
      </c>
    </row>
    <row r="64" spans="1:16" x14ac:dyDescent="0.25">
      <c r="A64" s="45" t="str">
        <f>IF(G64&lt;&gt;"",1+MAX($A$13:A63),"")</f>
        <v/>
      </c>
      <c r="P64" s="46"/>
    </row>
    <row r="65" spans="1:16" x14ac:dyDescent="0.25">
      <c r="A65" s="45" t="str">
        <f>IF(G65&lt;&gt;"",1+MAX($A$13:A64),"")</f>
        <v/>
      </c>
      <c r="D65" s="58" t="s">
        <v>193</v>
      </c>
      <c r="P65" s="46"/>
    </row>
    <row r="66" spans="1:16" x14ac:dyDescent="0.25">
      <c r="A66" s="60">
        <f>IF(G66&lt;&gt;"",1+MAX($A$13:A65),"")</f>
        <v>25</v>
      </c>
      <c r="B66" s="16" t="s">
        <v>303</v>
      </c>
      <c r="C66" s="16" t="s">
        <v>87</v>
      </c>
      <c r="D66" s="10" t="s">
        <v>194</v>
      </c>
      <c r="E66" s="31">
        <f>141.02*3</f>
        <v>423.06000000000006</v>
      </c>
      <c r="F66" s="39">
        <f>VLOOKUP(H66,'PROJECT SUMMARY'!$C$26:$D$32,2,0)</f>
        <v>0.05</v>
      </c>
      <c r="G66" s="31">
        <f>E66*(1+F66)</f>
        <v>444.21300000000008</v>
      </c>
      <c r="H66" s="16" t="s">
        <v>11</v>
      </c>
      <c r="I66" s="62">
        <v>4.5999999999999999E-2</v>
      </c>
      <c r="J66" s="71">
        <f>I66*G66</f>
        <v>20.433798000000003</v>
      </c>
      <c r="K66" s="23">
        <v>50</v>
      </c>
      <c r="L66" s="23">
        <f>K66*J66</f>
        <v>1021.6899000000002</v>
      </c>
      <c r="M66" s="23">
        <v>2.85</v>
      </c>
      <c r="N66" s="23">
        <f>M66*G66</f>
        <v>1266.0070500000002</v>
      </c>
      <c r="O66" s="23">
        <f>L66+N66</f>
        <v>2287.6969500000005</v>
      </c>
      <c r="P66" s="46"/>
    </row>
    <row r="67" spans="1:16" x14ac:dyDescent="0.25">
      <c r="A67" s="60">
        <f>IF(G67&lt;&gt;"",1+MAX($A$13:A66),"")</f>
        <v>26</v>
      </c>
      <c r="B67" s="16" t="s">
        <v>303</v>
      </c>
      <c r="C67" s="16" t="s">
        <v>87</v>
      </c>
      <c r="D67" s="10" t="s">
        <v>195</v>
      </c>
      <c r="E67" s="31">
        <f>97.27*3</f>
        <v>291.81</v>
      </c>
      <c r="F67" s="39">
        <f>VLOOKUP(H67,'PROJECT SUMMARY'!$C$26:$D$32,2,0)</f>
        <v>0.05</v>
      </c>
      <c r="G67" s="31">
        <f t="shared" ref="G67:G81" si="40">E67*(1+F67)</f>
        <v>306.40050000000002</v>
      </c>
      <c r="H67" s="16" t="s">
        <v>11</v>
      </c>
      <c r="I67" s="62">
        <v>4.8000000000000001E-2</v>
      </c>
      <c r="J67" s="71">
        <f t="shared" ref="J67:J76" si="41">I67*G67</f>
        <v>14.707224000000002</v>
      </c>
      <c r="K67" s="23">
        <v>50</v>
      </c>
      <c r="L67" s="23">
        <f t="shared" ref="L67:L76" si="42">K67*J67</f>
        <v>735.36120000000005</v>
      </c>
      <c r="M67" s="23">
        <v>3.1</v>
      </c>
      <c r="N67" s="23">
        <f t="shared" ref="N67:N76" si="43">M67*G67</f>
        <v>949.8415500000001</v>
      </c>
      <c r="O67" s="23">
        <f t="shared" ref="O67:O76" si="44">L67+N67</f>
        <v>1685.2027500000002</v>
      </c>
      <c r="P67" s="46"/>
    </row>
    <row r="68" spans="1:16" x14ac:dyDescent="0.25">
      <c r="A68" s="60">
        <f>IF(G68&lt;&gt;"",1+MAX($A$13:A67),"")</f>
        <v>27</v>
      </c>
      <c r="B68" s="16" t="s">
        <v>303</v>
      </c>
      <c r="C68" s="16" t="s">
        <v>87</v>
      </c>
      <c r="D68" s="10" t="s">
        <v>196</v>
      </c>
      <c r="E68" s="31">
        <f>10.87*3</f>
        <v>32.61</v>
      </c>
      <c r="F68" s="39">
        <f>VLOOKUP(H68,'PROJECT SUMMARY'!$C$26:$D$32,2,0)</f>
        <v>0.05</v>
      </c>
      <c r="G68" s="31">
        <f t="shared" si="40"/>
        <v>34.240500000000004</v>
      </c>
      <c r="H68" s="16" t="s">
        <v>11</v>
      </c>
      <c r="I68" s="62">
        <v>4.3999999999999997E-2</v>
      </c>
      <c r="J68" s="71">
        <f t="shared" si="41"/>
        <v>1.5065820000000001</v>
      </c>
      <c r="K68" s="23">
        <v>50</v>
      </c>
      <c r="L68" s="23">
        <f t="shared" si="42"/>
        <v>75.329100000000011</v>
      </c>
      <c r="M68" s="23">
        <v>2.66</v>
      </c>
      <c r="N68" s="23">
        <f t="shared" si="43"/>
        <v>91.079730000000012</v>
      </c>
      <c r="O68" s="23">
        <f t="shared" si="44"/>
        <v>166.40883000000002</v>
      </c>
      <c r="P68" s="46"/>
    </row>
    <row r="69" spans="1:16" x14ac:dyDescent="0.25">
      <c r="A69" s="60">
        <f>IF(G69&lt;&gt;"",1+MAX($A$13:A68),"")</f>
        <v>28</v>
      </c>
      <c r="B69" s="16" t="s">
        <v>303</v>
      </c>
      <c r="C69" s="16" t="s">
        <v>87</v>
      </c>
      <c r="D69" s="10" t="s">
        <v>197</v>
      </c>
      <c r="E69" s="31">
        <f>79.07*3</f>
        <v>237.20999999999998</v>
      </c>
      <c r="F69" s="39">
        <f>VLOOKUP(H69,'PROJECT SUMMARY'!$C$26:$D$32,2,0)</f>
        <v>0.05</v>
      </c>
      <c r="G69" s="31">
        <f t="shared" si="40"/>
        <v>249.07049999999998</v>
      </c>
      <c r="H69" s="16" t="s">
        <v>11</v>
      </c>
      <c r="I69" s="62">
        <v>0.04</v>
      </c>
      <c r="J69" s="71">
        <f t="shared" si="41"/>
        <v>9.9628199999999989</v>
      </c>
      <c r="K69" s="23">
        <v>50</v>
      </c>
      <c r="L69" s="23">
        <f t="shared" si="42"/>
        <v>498.14099999999996</v>
      </c>
      <c r="M69" s="23">
        <v>2.1</v>
      </c>
      <c r="N69" s="23">
        <f t="shared" si="43"/>
        <v>523.04804999999999</v>
      </c>
      <c r="O69" s="23">
        <f t="shared" si="44"/>
        <v>1021.18905</v>
      </c>
      <c r="P69" s="46"/>
    </row>
    <row r="70" spans="1:16" x14ac:dyDescent="0.25">
      <c r="A70" s="60" t="str">
        <f>IF(G70&lt;&gt;"",1+MAX($A$13:A69),"")</f>
        <v/>
      </c>
      <c r="P70" s="46"/>
    </row>
    <row r="71" spans="1:16" x14ac:dyDescent="0.25">
      <c r="A71" s="60" t="str">
        <f>IF(G71&lt;&gt;"",1+MAX($A$13:A70),"")</f>
        <v/>
      </c>
      <c r="D71" s="58" t="s">
        <v>199</v>
      </c>
      <c r="P71" s="46"/>
    </row>
    <row r="72" spans="1:16" x14ac:dyDescent="0.25">
      <c r="A72" s="60">
        <f>IF(G72&lt;&gt;"",1+MAX($A$13:A71),"")</f>
        <v>29</v>
      </c>
      <c r="B72" s="16" t="s">
        <v>303</v>
      </c>
      <c r="C72" s="16" t="s">
        <v>87</v>
      </c>
      <c r="D72" s="10" t="s">
        <v>200</v>
      </c>
      <c r="E72" s="31">
        <f>15*10.083</f>
        <v>151.245</v>
      </c>
      <c r="F72" s="39">
        <f>VLOOKUP(H72,'PROJECT SUMMARY'!$C$26:$D$32,2,0)</f>
        <v>0.05</v>
      </c>
      <c r="G72" s="31">
        <f t="shared" si="40"/>
        <v>158.80725000000001</v>
      </c>
      <c r="H72" s="16" t="s">
        <v>11</v>
      </c>
      <c r="I72" s="62">
        <v>6.5000000000000002E-2</v>
      </c>
      <c r="J72" s="71">
        <f t="shared" si="41"/>
        <v>10.322471250000001</v>
      </c>
      <c r="K72" s="23">
        <v>50</v>
      </c>
      <c r="L72" s="23">
        <f t="shared" si="42"/>
        <v>516.12356250000005</v>
      </c>
      <c r="M72" s="23">
        <v>11.3</v>
      </c>
      <c r="N72" s="23">
        <f t="shared" si="43"/>
        <v>1794.5219250000002</v>
      </c>
      <c r="O72" s="23">
        <f t="shared" si="44"/>
        <v>2310.6454875000004</v>
      </c>
      <c r="P72" s="46"/>
    </row>
    <row r="73" spans="1:16" x14ac:dyDescent="0.25">
      <c r="A73" s="60" t="str">
        <f>IF(G73&lt;&gt;"",1+MAX($A$13:A72),"")</f>
        <v/>
      </c>
      <c r="P73" s="46"/>
    </row>
    <row r="74" spans="1:16" x14ac:dyDescent="0.25">
      <c r="A74" s="60" t="str">
        <f>IF(G74&lt;&gt;"",1+MAX($A$13:A73),"")</f>
        <v/>
      </c>
      <c r="D74" s="58" t="s">
        <v>201</v>
      </c>
      <c r="P74" s="46"/>
    </row>
    <row r="75" spans="1:16" x14ac:dyDescent="0.25">
      <c r="A75" s="60">
        <f>IF(G75&lt;&gt;"",1+MAX($A$13:A74),"")</f>
        <v>30</v>
      </c>
      <c r="B75" s="16" t="s">
        <v>303</v>
      </c>
      <c r="C75" s="16" t="s">
        <v>87</v>
      </c>
      <c r="D75" s="10" t="s">
        <v>202</v>
      </c>
      <c r="E75" s="31">
        <f>2805.68/2</f>
        <v>1402.84</v>
      </c>
      <c r="F75" s="39">
        <f>VLOOKUP(H75,'PROJECT SUMMARY'!$C$26:$D$32,2,0)</f>
        <v>0.05</v>
      </c>
      <c r="G75" s="31">
        <f t="shared" si="40"/>
        <v>1472.982</v>
      </c>
      <c r="H75" s="16" t="s">
        <v>11</v>
      </c>
      <c r="I75" s="62">
        <v>6.5000000000000002E-2</v>
      </c>
      <c r="J75" s="71">
        <f t="shared" si="41"/>
        <v>95.743830000000003</v>
      </c>
      <c r="K75" s="23">
        <v>50</v>
      </c>
      <c r="L75" s="23">
        <f t="shared" si="42"/>
        <v>4787.1914999999999</v>
      </c>
      <c r="M75" s="23">
        <v>8.1999999999999993</v>
      </c>
      <c r="N75" s="23">
        <f t="shared" si="43"/>
        <v>12078.452399999998</v>
      </c>
      <c r="O75" s="23">
        <f t="shared" si="44"/>
        <v>16865.643899999999</v>
      </c>
      <c r="P75" s="46"/>
    </row>
    <row r="76" spans="1:16" x14ac:dyDescent="0.25">
      <c r="A76" s="60">
        <f>IF(G76&lt;&gt;"",1+MAX($A$13:A75),"")</f>
        <v>31</v>
      </c>
      <c r="B76" s="16" t="s">
        <v>303</v>
      </c>
      <c r="C76" s="16" t="s">
        <v>87</v>
      </c>
      <c r="D76" s="10" t="s">
        <v>204</v>
      </c>
      <c r="E76" s="31">
        <f>830.81/2</f>
        <v>415.40499999999997</v>
      </c>
      <c r="F76" s="39">
        <f>VLOOKUP(H76,'PROJECT SUMMARY'!$C$26:$D$32,2,0)</f>
        <v>0.05</v>
      </c>
      <c r="G76" s="31">
        <f t="shared" si="40"/>
        <v>436.17525000000001</v>
      </c>
      <c r="H76" s="16" t="s">
        <v>11</v>
      </c>
      <c r="I76" s="62">
        <v>6.5000000000000002E-2</v>
      </c>
      <c r="J76" s="71">
        <f t="shared" si="41"/>
        <v>28.351391250000002</v>
      </c>
      <c r="K76" s="23">
        <v>50</v>
      </c>
      <c r="L76" s="23">
        <f t="shared" si="42"/>
        <v>1417.5695625000001</v>
      </c>
      <c r="M76" s="23">
        <v>8.1999999999999993</v>
      </c>
      <c r="N76" s="23">
        <f t="shared" si="43"/>
        <v>3576.6370499999998</v>
      </c>
      <c r="O76" s="23">
        <f t="shared" si="44"/>
        <v>4994.2066125000001</v>
      </c>
      <c r="P76" s="46"/>
    </row>
    <row r="77" spans="1:16" x14ac:dyDescent="0.25">
      <c r="A77" s="60">
        <f>IF(G77&lt;&gt;"",1+MAX($A$13:A76),"")</f>
        <v>32</v>
      </c>
      <c r="B77" s="16" t="s">
        <v>304</v>
      </c>
      <c r="C77" s="16" t="s">
        <v>87</v>
      </c>
      <c r="D77" s="10" t="s">
        <v>203</v>
      </c>
      <c r="E77" s="31">
        <f>894.46/2</f>
        <v>447.23</v>
      </c>
      <c r="F77" s="39">
        <f>VLOOKUP(H77,'PROJECT SUMMARY'!$C$26:$D$32,2,0)</f>
        <v>0.05</v>
      </c>
      <c r="G77" s="31">
        <f t="shared" si="40"/>
        <v>469.59150000000005</v>
      </c>
      <c r="H77" s="16" t="s">
        <v>11</v>
      </c>
      <c r="I77" s="62">
        <v>6.5000000000000002E-2</v>
      </c>
      <c r="J77" s="71">
        <f t="shared" ref="J77" si="45">I77*G77</f>
        <v>30.523447500000003</v>
      </c>
      <c r="K77" s="23">
        <v>50</v>
      </c>
      <c r="L77" s="23">
        <f t="shared" ref="L77" si="46">K77*J77</f>
        <v>1526.1723750000001</v>
      </c>
      <c r="M77" s="23">
        <v>8.1999999999999993</v>
      </c>
      <c r="N77" s="23">
        <f t="shared" ref="N77" si="47">M77*G77</f>
        <v>3850.6503000000002</v>
      </c>
      <c r="O77" s="23">
        <f t="shared" ref="O77" si="48">L77+N77</f>
        <v>5376.8226750000003</v>
      </c>
      <c r="P77" s="46"/>
    </row>
    <row r="78" spans="1:16" x14ac:dyDescent="0.25">
      <c r="A78" s="60" t="str">
        <f>IF(G78&lt;&gt;"",1+MAX($A$13:A77),"")</f>
        <v/>
      </c>
      <c r="P78" s="46"/>
    </row>
    <row r="79" spans="1:16" x14ac:dyDescent="0.25">
      <c r="A79" s="60" t="str">
        <f>IF(G79&lt;&gt;"",1+MAX($A$13:A78),"")</f>
        <v/>
      </c>
      <c r="D79" s="58" t="s">
        <v>89</v>
      </c>
      <c r="I79" s="62"/>
      <c r="J79" s="71"/>
      <c r="P79" s="46"/>
    </row>
    <row r="80" spans="1:16" x14ac:dyDescent="0.25">
      <c r="A80" s="60">
        <f>IF(G80&lt;&gt;"",1+MAX($A$13:A79),"")</f>
        <v>33</v>
      </c>
      <c r="B80" s="16" t="s">
        <v>304</v>
      </c>
      <c r="C80" s="16" t="s">
        <v>87</v>
      </c>
      <c r="D80" s="10" t="s">
        <v>210</v>
      </c>
      <c r="E80" s="31">
        <f>4538.17/32</f>
        <v>141.8178125</v>
      </c>
      <c r="F80" s="39">
        <f>VLOOKUP(H80,'PROJECT SUMMARY'!$C$26:$D$32,2,0)</f>
        <v>0</v>
      </c>
      <c r="G80" s="31">
        <f t="shared" si="40"/>
        <v>141.8178125</v>
      </c>
      <c r="H80" s="16" t="s">
        <v>10</v>
      </c>
      <c r="I80" s="62">
        <v>0.44</v>
      </c>
      <c r="J80" s="71">
        <f t="shared" ref="J80:J81" si="49">I80*G80</f>
        <v>62.399837500000004</v>
      </c>
      <c r="K80" s="23">
        <v>50</v>
      </c>
      <c r="L80" s="23">
        <f t="shared" ref="L80:L81" si="50">K80*J80</f>
        <v>3119.9918750000002</v>
      </c>
      <c r="M80" s="23">
        <v>52</v>
      </c>
      <c r="N80" s="23">
        <f t="shared" ref="N80:N81" si="51">M80*G80</f>
        <v>7374.5262499999999</v>
      </c>
      <c r="O80" s="23">
        <f t="shared" ref="O80:O81" si="52">L80+N80</f>
        <v>10494.518125000001</v>
      </c>
      <c r="P80" s="46"/>
    </row>
    <row r="81" spans="1:16" x14ac:dyDescent="0.25">
      <c r="A81" s="60">
        <f>IF(G81&lt;&gt;"",1+MAX($A$13:A80),"")</f>
        <v>34</v>
      </c>
      <c r="B81" s="16" t="s">
        <v>303</v>
      </c>
      <c r="C81" s="16" t="s">
        <v>87</v>
      </c>
      <c r="D81" s="10" t="s">
        <v>310</v>
      </c>
      <c r="E81" s="31">
        <f>3821.68/32</f>
        <v>119.42749999999999</v>
      </c>
      <c r="F81" s="39">
        <f>VLOOKUP(H81,'PROJECT SUMMARY'!$C$26:$D$32,2,0)</f>
        <v>0</v>
      </c>
      <c r="G81" s="31">
        <f t="shared" si="40"/>
        <v>119.42749999999999</v>
      </c>
      <c r="H81" s="16" t="s">
        <v>10</v>
      </c>
      <c r="I81" s="62">
        <v>0.44400000000000001</v>
      </c>
      <c r="J81" s="71">
        <f t="shared" si="49"/>
        <v>53.02581</v>
      </c>
      <c r="K81" s="23">
        <v>50</v>
      </c>
      <c r="L81" s="23">
        <f t="shared" si="50"/>
        <v>2651.2905000000001</v>
      </c>
      <c r="M81" s="23">
        <v>42.55</v>
      </c>
      <c r="N81" s="23">
        <f t="shared" si="51"/>
        <v>5081.640124999999</v>
      </c>
      <c r="O81" s="23">
        <f t="shared" si="52"/>
        <v>7732.9306249999991</v>
      </c>
      <c r="P81" s="46"/>
    </row>
    <row r="82" spans="1:16" ht="16.5" thickBot="1" x14ac:dyDescent="0.3">
      <c r="A82" s="45" t="str">
        <f>IF(G82&lt;&gt;"",1+MAX($A$13:A81),"")</f>
        <v/>
      </c>
      <c r="P82" s="46"/>
    </row>
    <row r="83" spans="1:16" ht="16.5" thickBot="1" x14ac:dyDescent="0.3">
      <c r="A83" s="87" t="str">
        <f>IF(G83&lt;&gt;"",1+MAX($A$13:A82),"")</f>
        <v/>
      </c>
      <c r="B83" s="83"/>
      <c r="C83" s="83" t="s">
        <v>205</v>
      </c>
      <c r="D83" s="81" t="s">
        <v>206</v>
      </c>
      <c r="E83" s="85"/>
      <c r="F83" s="86"/>
      <c r="G83" s="85"/>
      <c r="H83" s="85"/>
      <c r="I83" s="81"/>
      <c r="J83" s="81"/>
      <c r="K83" s="82"/>
      <c r="L83" s="82"/>
      <c r="M83" s="82"/>
      <c r="N83" s="82"/>
      <c r="O83" s="84"/>
      <c r="P83" s="88">
        <f>SUM(O84:O103)</f>
        <v>85461.333972000022</v>
      </c>
    </row>
    <row r="84" spans="1:16" x14ac:dyDescent="0.25">
      <c r="A84" s="45" t="str">
        <f>IF(G84&lt;&gt;"",1+MAX($A$13:A83),"")</f>
        <v/>
      </c>
      <c r="P84" s="46"/>
    </row>
    <row r="85" spans="1:16" x14ac:dyDescent="0.25">
      <c r="A85" s="45" t="str">
        <f>IF(G85&lt;&gt;"",1+MAX($A$13:A84),"")</f>
        <v/>
      </c>
      <c r="D85" s="58" t="s">
        <v>207</v>
      </c>
      <c r="P85" s="46"/>
    </row>
    <row r="86" spans="1:16" x14ac:dyDescent="0.25">
      <c r="A86" s="60">
        <f>IF(G86&lt;&gt;"",1+MAX($A$13:A85),"")</f>
        <v>35</v>
      </c>
      <c r="B86" s="16" t="s">
        <v>306</v>
      </c>
      <c r="C86" s="16" t="s">
        <v>205</v>
      </c>
      <c r="D86" s="10" t="s">
        <v>208</v>
      </c>
      <c r="E86" s="31">
        <v>904.19</v>
      </c>
      <c r="F86" s="39">
        <f>VLOOKUP(H86,'PROJECT SUMMARY'!$C$26:$D$32,2,0)</f>
        <v>0.05</v>
      </c>
      <c r="G86" s="31">
        <f>E86*(1+F86)</f>
        <v>949.3995000000001</v>
      </c>
      <c r="H86" s="16" t="s">
        <v>12</v>
      </c>
      <c r="I86" s="62">
        <v>0.08</v>
      </c>
      <c r="J86" s="71">
        <f>I86*G86</f>
        <v>75.951960000000014</v>
      </c>
      <c r="K86" s="23">
        <v>58</v>
      </c>
      <c r="L86" s="23">
        <f>K86*J86</f>
        <v>4405.2136800000007</v>
      </c>
      <c r="M86" s="23">
        <v>4.2</v>
      </c>
      <c r="N86" s="23">
        <f>M86*G86</f>
        <v>3987.4779000000008</v>
      </c>
      <c r="O86" s="23">
        <f>L86+N86</f>
        <v>8392.6915800000024</v>
      </c>
      <c r="P86" s="46"/>
    </row>
    <row r="87" spans="1:16" x14ac:dyDescent="0.25">
      <c r="A87" s="60">
        <f>IF(G87&lt;&gt;"",1+MAX($A$13:A86),"")</f>
        <v>36</v>
      </c>
      <c r="B87" s="16" t="s">
        <v>306</v>
      </c>
      <c r="C87" s="16" t="s">
        <v>205</v>
      </c>
      <c r="D87" s="10" t="s">
        <v>209</v>
      </c>
      <c r="E87" s="31">
        <v>3633.98</v>
      </c>
      <c r="F87" s="39">
        <f>VLOOKUP(H87,'PROJECT SUMMARY'!$C$26:$D$32,2,0)</f>
        <v>0.05</v>
      </c>
      <c r="G87" s="31">
        <f t="shared" ref="G87:G89" si="53">E87*(1+F87)</f>
        <v>3815.6790000000001</v>
      </c>
      <c r="H87" s="16" t="s">
        <v>12</v>
      </c>
      <c r="I87" s="62">
        <v>3.5000000000000003E-2</v>
      </c>
      <c r="J87" s="71">
        <f t="shared" ref="J87:J89" si="54">I87*G87</f>
        <v>133.548765</v>
      </c>
      <c r="K87" s="23">
        <v>58</v>
      </c>
      <c r="L87" s="23">
        <f t="shared" ref="L87:L89" si="55">K87*J87</f>
        <v>7745.8283700000002</v>
      </c>
      <c r="M87" s="23">
        <v>1.9</v>
      </c>
      <c r="N87" s="23">
        <f t="shared" ref="N87:N89" si="56">M87*G87</f>
        <v>7249.7901000000002</v>
      </c>
      <c r="O87" s="23">
        <f t="shared" ref="O87:O89" si="57">L87+N87</f>
        <v>14995.618470000001</v>
      </c>
      <c r="P87" s="46"/>
    </row>
    <row r="88" spans="1:16" x14ac:dyDescent="0.25">
      <c r="A88" s="60">
        <f>IF(G88&lt;&gt;"",1+MAX($A$13:A87),"")</f>
        <v>37</v>
      </c>
      <c r="B88" s="16" t="s">
        <v>306</v>
      </c>
      <c r="C88" s="16" t="s">
        <v>205</v>
      </c>
      <c r="D88" s="10" t="s">
        <v>212</v>
      </c>
      <c r="E88" s="31">
        <v>4538.17</v>
      </c>
      <c r="F88" s="39">
        <f>VLOOKUP(H88,'PROJECT SUMMARY'!$C$26:$D$32,2,0)</f>
        <v>0.05</v>
      </c>
      <c r="G88" s="31">
        <f t="shared" si="53"/>
        <v>4765.0785000000005</v>
      </c>
      <c r="H88" s="16" t="s">
        <v>12</v>
      </c>
      <c r="I88" s="62">
        <v>0.04</v>
      </c>
      <c r="J88" s="71">
        <f t="shared" si="54"/>
        <v>190.60314000000002</v>
      </c>
      <c r="K88" s="23">
        <v>58</v>
      </c>
      <c r="L88" s="23">
        <f t="shared" si="55"/>
        <v>11054.982120000001</v>
      </c>
      <c r="M88" s="23">
        <v>3.75</v>
      </c>
      <c r="N88" s="23">
        <f t="shared" si="56"/>
        <v>17869.044375000001</v>
      </c>
      <c r="O88" s="23">
        <f t="shared" si="57"/>
        <v>28924.026495000002</v>
      </c>
      <c r="P88" s="46"/>
    </row>
    <row r="89" spans="1:16" x14ac:dyDescent="0.25">
      <c r="A89" s="60">
        <f>IF(G89&lt;&gt;"",1+MAX($A$13:A88),"")</f>
        <v>38</v>
      </c>
      <c r="B89" s="16" t="s">
        <v>306</v>
      </c>
      <c r="C89" s="16" t="s">
        <v>205</v>
      </c>
      <c r="D89" s="10" t="s">
        <v>211</v>
      </c>
      <c r="E89" s="31">
        <v>4538.17</v>
      </c>
      <c r="F89" s="39">
        <f>VLOOKUP(H89,'PROJECT SUMMARY'!$C$26:$D$32,2,0)</f>
        <v>0.05</v>
      </c>
      <c r="G89" s="31">
        <f t="shared" si="53"/>
        <v>4765.0785000000005</v>
      </c>
      <c r="H89" s="16" t="s">
        <v>12</v>
      </c>
      <c r="I89" s="62">
        <v>7.0000000000000001E-3</v>
      </c>
      <c r="J89" s="71">
        <f t="shared" si="54"/>
        <v>33.355549500000002</v>
      </c>
      <c r="K89" s="23">
        <v>58</v>
      </c>
      <c r="L89" s="23">
        <f t="shared" si="55"/>
        <v>1934.6218710000001</v>
      </c>
      <c r="M89" s="23">
        <v>0.41</v>
      </c>
      <c r="N89" s="23">
        <f t="shared" si="56"/>
        <v>1953.6821850000001</v>
      </c>
      <c r="O89" s="23">
        <f t="shared" si="57"/>
        <v>3888.3040559999999</v>
      </c>
      <c r="P89" s="46"/>
    </row>
    <row r="90" spans="1:16" x14ac:dyDescent="0.25">
      <c r="A90" s="60" t="str">
        <f>IF(G90&lt;&gt;"",1+MAX($A$13:A89),"")</f>
        <v/>
      </c>
      <c r="P90" s="46"/>
    </row>
    <row r="91" spans="1:16" x14ac:dyDescent="0.25">
      <c r="A91" s="60" t="str">
        <f>IF(G91&lt;&gt;"",1+MAX($A$13:A90),"")</f>
        <v/>
      </c>
      <c r="D91" s="58" t="s">
        <v>311</v>
      </c>
      <c r="P91" s="46"/>
    </row>
    <row r="92" spans="1:16" x14ac:dyDescent="0.25">
      <c r="A92" s="60">
        <f>IF(G92&lt;&gt;"",1+MAX($A$13:A91),"")</f>
        <v>39</v>
      </c>
      <c r="B92" s="16" t="s">
        <v>307</v>
      </c>
      <c r="C92" s="16" t="s">
        <v>205</v>
      </c>
      <c r="D92" s="10" t="s">
        <v>213</v>
      </c>
      <c r="E92" s="31">
        <f>2013.65+591.57</f>
        <v>2605.2200000000003</v>
      </c>
      <c r="F92" s="39">
        <f>VLOOKUP(H92,'PROJECT SUMMARY'!$C$26:$D$32,2,0)</f>
        <v>0.05</v>
      </c>
      <c r="G92" s="31">
        <f t="shared" ref="G92" si="58">E92*(1+F92)</f>
        <v>2735.4810000000002</v>
      </c>
      <c r="H92" s="16" t="s">
        <v>12</v>
      </c>
      <c r="I92" s="62">
        <v>0.03</v>
      </c>
      <c r="J92" s="71">
        <f t="shared" ref="J92:J100" si="59">I92*G92</f>
        <v>82.064430000000002</v>
      </c>
      <c r="K92" s="23">
        <v>58</v>
      </c>
      <c r="L92" s="23">
        <f t="shared" ref="L92:L100" si="60">K92*J92</f>
        <v>4759.7369399999998</v>
      </c>
      <c r="M92" s="23">
        <v>3</v>
      </c>
      <c r="N92" s="23">
        <f t="shared" ref="N92:N100" si="61">M92*G92</f>
        <v>8206.4430000000011</v>
      </c>
      <c r="O92" s="23">
        <f t="shared" ref="O92:O100" si="62">L92+N92</f>
        <v>12966.179940000002</v>
      </c>
      <c r="P92" s="46"/>
    </row>
    <row r="93" spans="1:16" x14ac:dyDescent="0.25">
      <c r="A93" s="60">
        <f>IF(G93&lt;&gt;"",1+MAX($A$13:A92),"")</f>
        <v>40</v>
      </c>
      <c r="B93" s="16" t="s">
        <v>307</v>
      </c>
      <c r="C93" s="16" t="s">
        <v>205</v>
      </c>
      <c r="D93" s="10" t="s">
        <v>214</v>
      </c>
      <c r="E93" s="31">
        <v>196.71</v>
      </c>
      <c r="F93" s="39">
        <f>VLOOKUP(H93,'PROJECT SUMMARY'!$C$26:$D$32,2,0)</f>
        <v>0.05</v>
      </c>
      <c r="G93" s="31">
        <f t="shared" ref="G93:G100" si="63">E93*(1+F93)</f>
        <v>206.5455</v>
      </c>
      <c r="H93" s="16" t="s">
        <v>12</v>
      </c>
      <c r="I93" s="62">
        <v>0.02</v>
      </c>
      <c r="J93" s="71">
        <f t="shared" si="59"/>
        <v>4.1309100000000001</v>
      </c>
      <c r="K93" s="23">
        <v>58</v>
      </c>
      <c r="L93" s="23">
        <f t="shared" si="60"/>
        <v>239.59278</v>
      </c>
      <c r="M93" s="23">
        <v>4.2</v>
      </c>
      <c r="N93" s="23">
        <f t="shared" si="61"/>
        <v>867.49110000000007</v>
      </c>
      <c r="O93" s="23">
        <f t="shared" si="62"/>
        <v>1107.0838800000001</v>
      </c>
      <c r="P93" s="46"/>
    </row>
    <row r="94" spans="1:16" x14ac:dyDescent="0.25">
      <c r="A94" s="60">
        <f>IF(G94&lt;&gt;"",1+MAX($A$13:A93),"")</f>
        <v>41</v>
      </c>
      <c r="B94" s="16" t="s">
        <v>307</v>
      </c>
      <c r="C94" s="16" t="s">
        <v>205</v>
      </c>
      <c r="D94" s="10" t="s">
        <v>215</v>
      </c>
      <c r="E94" s="31">
        <v>123.71</v>
      </c>
      <c r="F94" s="39">
        <f>VLOOKUP(H94,'PROJECT SUMMARY'!$C$26:$D$32,2,0)</f>
        <v>0.05</v>
      </c>
      <c r="G94" s="31">
        <f t="shared" si="63"/>
        <v>129.8955</v>
      </c>
      <c r="H94" s="16" t="s">
        <v>12</v>
      </c>
      <c r="I94" s="62">
        <v>3.3000000000000002E-2</v>
      </c>
      <c r="J94" s="71">
        <f t="shared" si="59"/>
        <v>4.2865514999999998</v>
      </c>
      <c r="K94" s="23">
        <v>58</v>
      </c>
      <c r="L94" s="23">
        <f t="shared" si="60"/>
        <v>248.61998699999998</v>
      </c>
      <c r="M94" s="23">
        <v>3.25</v>
      </c>
      <c r="N94" s="23">
        <f t="shared" si="61"/>
        <v>422.16037499999999</v>
      </c>
      <c r="O94" s="23">
        <f t="shared" si="62"/>
        <v>670.78036199999997</v>
      </c>
      <c r="P94" s="46"/>
    </row>
    <row r="95" spans="1:16" x14ac:dyDescent="0.25">
      <c r="A95" s="60">
        <f>IF(G95&lt;&gt;"",1+MAX($A$13:A94),"")</f>
        <v>42</v>
      </c>
      <c r="B95" s="16" t="s">
        <v>307</v>
      </c>
      <c r="C95" s="16" t="s">
        <v>205</v>
      </c>
      <c r="D95" s="10" t="s">
        <v>278</v>
      </c>
      <c r="E95" s="31">
        <v>3821.63</v>
      </c>
      <c r="F95" s="39">
        <f>VLOOKUP(H95,'PROJECT SUMMARY'!$C$26:$D$32,2,0)</f>
        <v>0.05</v>
      </c>
      <c r="G95" s="31">
        <f t="shared" ref="G95" si="64">E95*(1+F95)</f>
        <v>4012.7115000000003</v>
      </c>
      <c r="H95" s="16" t="s">
        <v>12</v>
      </c>
      <c r="I95" s="62">
        <v>6.0000000000000001E-3</v>
      </c>
      <c r="J95" s="71">
        <f t="shared" si="59"/>
        <v>24.076269000000003</v>
      </c>
      <c r="K95" s="23">
        <v>58</v>
      </c>
      <c r="L95" s="23">
        <f t="shared" si="60"/>
        <v>1396.4236020000003</v>
      </c>
      <c r="M95" s="23">
        <v>0.25</v>
      </c>
      <c r="N95" s="23">
        <f t="shared" si="61"/>
        <v>1003.1778750000001</v>
      </c>
      <c r="O95" s="23">
        <f t="shared" si="62"/>
        <v>2399.6014770000002</v>
      </c>
      <c r="P95" s="46"/>
    </row>
    <row r="96" spans="1:16" x14ac:dyDescent="0.25">
      <c r="A96" s="60" t="str">
        <f>IF(G96&lt;&gt;"",1+MAX($A$13:A95),"")</f>
        <v/>
      </c>
      <c r="I96" s="62"/>
      <c r="J96" s="71"/>
      <c r="P96" s="46"/>
    </row>
    <row r="97" spans="1:16" x14ac:dyDescent="0.25">
      <c r="A97" s="60">
        <f>IF(G97&lt;&gt;"",1+MAX($A$13:A96),"")</f>
        <v>43</v>
      </c>
      <c r="B97" s="16" t="s">
        <v>306</v>
      </c>
      <c r="C97" s="16" t="s">
        <v>205</v>
      </c>
      <c r="D97" s="10" t="s">
        <v>216</v>
      </c>
      <c r="E97" s="31">
        <v>1140.31</v>
      </c>
      <c r="F97" s="39">
        <f>VLOOKUP(H97,'PROJECT SUMMARY'!$C$26:$D$32,2,0)</f>
        <v>0.05</v>
      </c>
      <c r="G97" s="31">
        <f t="shared" si="63"/>
        <v>1197.3254999999999</v>
      </c>
      <c r="H97" s="16" t="s">
        <v>12</v>
      </c>
      <c r="I97" s="62">
        <v>2.5000000000000001E-2</v>
      </c>
      <c r="J97" s="71">
        <f t="shared" si="59"/>
        <v>29.933137500000001</v>
      </c>
      <c r="K97" s="23">
        <v>58</v>
      </c>
      <c r="L97" s="23">
        <f t="shared" si="60"/>
        <v>1736.121975</v>
      </c>
      <c r="M97" s="23">
        <v>3.22</v>
      </c>
      <c r="N97" s="23">
        <f t="shared" si="61"/>
        <v>3855.3881099999999</v>
      </c>
      <c r="O97" s="23">
        <f t="shared" si="62"/>
        <v>5591.5100849999999</v>
      </c>
      <c r="P97" s="46"/>
    </row>
    <row r="98" spans="1:16" x14ac:dyDescent="0.25">
      <c r="A98" s="60">
        <f>IF(G98&lt;&gt;"",1+MAX($A$13:A97),"")</f>
        <v>44</v>
      </c>
      <c r="B98" s="16" t="s">
        <v>306</v>
      </c>
      <c r="C98" s="16" t="s">
        <v>205</v>
      </c>
      <c r="D98" s="10" t="s">
        <v>217</v>
      </c>
      <c r="E98" s="31">
        <v>267.84500000000003</v>
      </c>
      <c r="F98" s="39">
        <f>VLOOKUP(H98,'PROJECT SUMMARY'!$C$26:$D$32,2,0)</f>
        <v>0.05</v>
      </c>
      <c r="G98" s="31">
        <f t="shared" si="63"/>
        <v>281.23725000000002</v>
      </c>
      <c r="H98" s="16" t="s">
        <v>12</v>
      </c>
      <c r="I98" s="62">
        <v>2.5000000000000001E-2</v>
      </c>
      <c r="J98" s="71">
        <f t="shared" si="59"/>
        <v>7.030931250000001</v>
      </c>
      <c r="K98" s="23">
        <v>58</v>
      </c>
      <c r="L98" s="23">
        <f t="shared" si="60"/>
        <v>407.79401250000006</v>
      </c>
      <c r="M98" s="23">
        <v>3.65</v>
      </c>
      <c r="N98" s="23">
        <f t="shared" si="61"/>
        <v>1026.5159625000001</v>
      </c>
      <c r="O98" s="23">
        <f t="shared" si="62"/>
        <v>1434.3099750000001</v>
      </c>
      <c r="P98" s="46"/>
    </row>
    <row r="99" spans="1:16" x14ac:dyDescent="0.25">
      <c r="A99" s="60">
        <f>IF(G99&lt;&gt;"",1+MAX($A$13:A98),"")</f>
        <v>45</v>
      </c>
      <c r="B99" s="16" t="s">
        <v>307</v>
      </c>
      <c r="C99" s="16" t="s">
        <v>205</v>
      </c>
      <c r="D99" s="10" t="s">
        <v>218</v>
      </c>
      <c r="E99" s="31">
        <v>309.13</v>
      </c>
      <c r="F99" s="39">
        <f>VLOOKUP(H99,'PROJECT SUMMARY'!$C$26:$D$32,2,0)</f>
        <v>0.05</v>
      </c>
      <c r="G99" s="31">
        <f t="shared" si="63"/>
        <v>324.5865</v>
      </c>
      <c r="H99" s="16" t="s">
        <v>12</v>
      </c>
      <c r="I99" s="62">
        <v>3.3000000000000002E-2</v>
      </c>
      <c r="J99" s="71">
        <f t="shared" si="59"/>
        <v>10.711354500000001</v>
      </c>
      <c r="K99" s="23">
        <v>58</v>
      </c>
      <c r="L99" s="23">
        <f t="shared" si="60"/>
        <v>621.25856099999999</v>
      </c>
      <c r="M99" s="23">
        <v>2.75</v>
      </c>
      <c r="N99" s="23">
        <f t="shared" si="61"/>
        <v>892.61287500000003</v>
      </c>
      <c r="O99" s="23">
        <f t="shared" si="62"/>
        <v>1513.8714359999999</v>
      </c>
      <c r="P99" s="46"/>
    </row>
    <row r="100" spans="1:16" x14ac:dyDescent="0.25">
      <c r="A100" s="60">
        <f>IF(G100&lt;&gt;"",1+MAX($A$13:A99),"")</f>
        <v>46</v>
      </c>
      <c r="B100" s="16" t="s">
        <v>307</v>
      </c>
      <c r="C100" s="16" t="s">
        <v>205</v>
      </c>
      <c r="D100" s="10" t="s">
        <v>219</v>
      </c>
      <c r="E100" s="31">
        <v>61.86</v>
      </c>
      <c r="F100" s="39">
        <f>VLOOKUP(H100,'PROJECT SUMMARY'!$C$26:$D$32,2,0)</f>
        <v>0.05</v>
      </c>
      <c r="G100" s="31">
        <f t="shared" si="63"/>
        <v>64.953000000000003</v>
      </c>
      <c r="H100" s="16" t="s">
        <v>11</v>
      </c>
      <c r="I100" s="62">
        <v>3.3000000000000002E-2</v>
      </c>
      <c r="J100" s="71">
        <f t="shared" si="59"/>
        <v>2.1434490000000004</v>
      </c>
      <c r="K100" s="23">
        <v>58</v>
      </c>
      <c r="L100" s="23">
        <f t="shared" si="60"/>
        <v>124.32004200000003</v>
      </c>
      <c r="M100" s="23">
        <v>2.75</v>
      </c>
      <c r="N100" s="23">
        <f t="shared" si="61"/>
        <v>178.62075000000002</v>
      </c>
      <c r="O100" s="23">
        <f t="shared" si="62"/>
        <v>302.94079200000004</v>
      </c>
      <c r="P100" s="46"/>
    </row>
    <row r="101" spans="1:16" x14ac:dyDescent="0.25">
      <c r="A101" s="60" t="str">
        <f>IF(G101&lt;&gt;"",1+MAX($A$13:A100),"")</f>
        <v/>
      </c>
      <c r="I101" s="62"/>
      <c r="J101" s="71"/>
      <c r="P101" s="46"/>
    </row>
    <row r="102" spans="1:16" x14ac:dyDescent="0.25">
      <c r="A102" s="60">
        <f>IF(G102&lt;&gt;"",1+MAX($A$13:A101),"")</f>
        <v>47</v>
      </c>
      <c r="B102" s="16" t="s">
        <v>307</v>
      </c>
      <c r="C102" s="16" t="s">
        <v>205</v>
      </c>
      <c r="D102" s="10" t="s">
        <v>211</v>
      </c>
      <c r="E102" s="31">
        <v>3821.68</v>
      </c>
      <c r="F102" s="39">
        <f>VLOOKUP(H102,'PROJECT SUMMARY'!$C$26:$D$32,2,0)</f>
        <v>0.05</v>
      </c>
      <c r="G102" s="31">
        <f t="shared" ref="G102" si="65">E102*(1+F102)</f>
        <v>4012.7640000000001</v>
      </c>
      <c r="H102" s="16" t="s">
        <v>12</v>
      </c>
      <c r="I102" s="62">
        <v>7.0000000000000001E-3</v>
      </c>
      <c r="J102" s="71">
        <f t="shared" ref="J102" si="66">I102*G102</f>
        <v>28.089348000000001</v>
      </c>
      <c r="K102" s="23">
        <v>58</v>
      </c>
      <c r="L102" s="23">
        <f t="shared" ref="L102" si="67">K102*J102</f>
        <v>1629.182184</v>
      </c>
      <c r="M102" s="23">
        <v>0.41</v>
      </c>
      <c r="N102" s="23">
        <f t="shared" ref="N102" si="68">M102*G102</f>
        <v>1645.23324</v>
      </c>
      <c r="O102" s="23">
        <f t="shared" ref="O102" si="69">L102+N102</f>
        <v>3274.4154239999998</v>
      </c>
      <c r="P102" s="46"/>
    </row>
    <row r="103" spans="1:16" ht="16.5" thickBot="1" x14ac:dyDescent="0.3">
      <c r="A103" s="45" t="str">
        <f>IF(G103&lt;&gt;"",1+MAX($A$13:A102),"")</f>
        <v/>
      </c>
      <c r="P103" s="46"/>
    </row>
    <row r="104" spans="1:16" ht="16.5" thickBot="1" x14ac:dyDescent="0.3">
      <c r="A104" s="87" t="str">
        <f>IF(G104&lt;&gt;"",1+MAX($A$13:A103),"")</f>
        <v/>
      </c>
      <c r="B104" s="83"/>
      <c r="C104" s="83" t="s">
        <v>46</v>
      </c>
      <c r="D104" s="81" t="s">
        <v>47</v>
      </c>
      <c r="E104" s="85"/>
      <c r="F104" s="86"/>
      <c r="G104" s="85"/>
      <c r="H104" s="85"/>
      <c r="I104" s="81"/>
      <c r="J104" s="81"/>
      <c r="K104" s="82"/>
      <c r="L104" s="82"/>
      <c r="M104" s="82"/>
      <c r="N104" s="82"/>
      <c r="O104" s="84"/>
      <c r="P104" s="88">
        <f>SUM(O105:O142)</f>
        <v>80830.997599999988</v>
      </c>
    </row>
    <row r="105" spans="1:16" x14ac:dyDescent="0.25">
      <c r="A105" s="45" t="str">
        <f>IF(G105&lt;&gt;"",1+MAX($A$13:A104),"")</f>
        <v/>
      </c>
      <c r="P105" s="46"/>
    </row>
    <row r="106" spans="1:16" x14ac:dyDescent="0.25">
      <c r="A106" s="45" t="str">
        <f>IF(G106&lt;&gt;"",1+MAX($A$13:A105),"")</f>
        <v/>
      </c>
      <c r="D106" s="58" t="s">
        <v>153</v>
      </c>
      <c r="J106" s="71"/>
      <c r="P106" s="46"/>
    </row>
    <row r="107" spans="1:16" x14ac:dyDescent="0.25">
      <c r="A107" s="45">
        <f>IF(G107&lt;&gt;"",1+MAX($A$13:A106),"")</f>
        <v>48</v>
      </c>
      <c r="B107" s="16" t="s">
        <v>308</v>
      </c>
      <c r="C107" s="16" t="s">
        <v>46</v>
      </c>
      <c r="D107" s="10" t="s">
        <v>126</v>
      </c>
      <c r="E107" s="31">
        <v>1</v>
      </c>
      <c r="F107" s="39">
        <f>VLOOKUP(H107,'PROJECT SUMMARY'!$C$26:$D$32,2,0)</f>
        <v>0</v>
      </c>
      <c r="G107" s="31">
        <f>E107*(1+F107)</f>
        <v>1</v>
      </c>
      <c r="H107" s="16" t="s">
        <v>10</v>
      </c>
      <c r="I107" s="62">
        <v>4.7846399999999996</v>
      </c>
      <c r="J107" s="71">
        <f>I107*G107</f>
        <v>4.7846399999999996</v>
      </c>
      <c r="K107" s="23">
        <v>52</v>
      </c>
      <c r="L107" s="23">
        <f>K107*J107</f>
        <v>248.80127999999996</v>
      </c>
      <c r="M107" s="23">
        <v>683.52</v>
      </c>
      <c r="N107" s="23">
        <f>M107*G107</f>
        <v>683.52</v>
      </c>
      <c r="O107" s="23">
        <f>L107+N107</f>
        <v>932.32127999999989</v>
      </c>
      <c r="P107" s="46"/>
    </row>
    <row r="108" spans="1:16" x14ac:dyDescent="0.25">
      <c r="A108" s="45">
        <f>IF(G108&lt;&gt;"",1+MAX($A$13:A107),"")</f>
        <v>49</v>
      </c>
      <c r="B108" s="16" t="s">
        <v>308</v>
      </c>
      <c r="C108" s="16" t="s">
        <v>46</v>
      </c>
      <c r="D108" s="10" t="s">
        <v>127</v>
      </c>
      <c r="E108" s="31">
        <v>1</v>
      </c>
      <c r="F108" s="39">
        <f>VLOOKUP(H108,'PROJECT SUMMARY'!$C$26:$D$32,2,0)</f>
        <v>0</v>
      </c>
      <c r="G108" s="31">
        <f t="shared" ref="G108:G123" si="70">E108*(1+F108)</f>
        <v>1</v>
      </c>
      <c r="H108" s="16" t="s">
        <v>10</v>
      </c>
      <c r="I108" s="62">
        <v>5.3760000000000003</v>
      </c>
      <c r="J108" s="71">
        <f t="shared" ref="J108:J123" si="71">I108*G108</f>
        <v>5.3760000000000003</v>
      </c>
      <c r="K108" s="23">
        <v>52</v>
      </c>
      <c r="L108" s="23">
        <f t="shared" ref="L108:L123" si="72">K108*J108</f>
        <v>279.55200000000002</v>
      </c>
      <c r="M108" s="23">
        <v>768</v>
      </c>
      <c r="N108" s="23">
        <f t="shared" ref="N108:N123" si="73">M108*G108</f>
        <v>768</v>
      </c>
      <c r="O108" s="23">
        <f t="shared" ref="O108:O123" si="74">L108+N108</f>
        <v>1047.5520000000001</v>
      </c>
      <c r="P108" s="46"/>
    </row>
    <row r="109" spans="1:16" x14ac:dyDescent="0.25">
      <c r="A109" s="45">
        <f>IF(G109&lt;&gt;"",1+MAX($A$13:A108),"")</f>
        <v>50</v>
      </c>
      <c r="B109" s="16" t="s">
        <v>308</v>
      </c>
      <c r="C109" s="16" t="s">
        <v>46</v>
      </c>
      <c r="D109" s="10" t="s">
        <v>128</v>
      </c>
      <c r="E109" s="31">
        <v>1</v>
      </c>
      <c r="F109" s="39">
        <f>VLOOKUP(H109,'PROJECT SUMMARY'!$C$26:$D$32,2,0)</f>
        <v>0</v>
      </c>
      <c r="G109" s="31">
        <f t="shared" si="70"/>
        <v>1</v>
      </c>
      <c r="H109" s="16" t="s">
        <v>10</v>
      </c>
      <c r="I109" s="62">
        <v>16.384</v>
      </c>
      <c r="J109" s="71">
        <f t="shared" si="71"/>
        <v>16.384</v>
      </c>
      <c r="K109" s="23">
        <v>52</v>
      </c>
      <c r="L109" s="23">
        <f t="shared" si="72"/>
        <v>851.96800000000007</v>
      </c>
      <c r="M109" s="23">
        <v>4096</v>
      </c>
      <c r="N109" s="23">
        <f t="shared" si="73"/>
        <v>4096</v>
      </c>
      <c r="O109" s="23">
        <f t="shared" si="74"/>
        <v>4947.9679999999998</v>
      </c>
      <c r="P109" s="46"/>
    </row>
    <row r="110" spans="1:16" x14ac:dyDescent="0.25">
      <c r="A110" s="45">
        <f>IF(G110&lt;&gt;"",1+MAX($A$13:A109),"")</f>
        <v>51</v>
      </c>
      <c r="B110" s="16" t="s">
        <v>308</v>
      </c>
      <c r="C110" s="16" t="s">
        <v>46</v>
      </c>
      <c r="D110" s="10" t="s">
        <v>129</v>
      </c>
      <c r="E110" s="31">
        <v>1</v>
      </c>
      <c r="F110" s="39">
        <f>VLOOKUP(H110,'PROJECT SUMMARY'!$C$26:$D$32,2,0)</f>
        <v>0</v>
      </c>
      <c r="G110" s="31">
        <f t="shared" si="70"/>
        <v>1</v>
      </c>
      <c r="H110" s="16" t="s">
        <v>10</v>
      </c>
      <c r="I110" s="62">
        <v>12.288</v>
      </c>
      <c r="J110" s="71">
        <f t="shared" si="71"/>
        <v>12.288</v>
      </c>
      <c r="K110" s="23">
        <v>52</v>
      </c>
      <c r="L110" s="23">
        <f t="shared" si="72"/>
        <v>638.976</v>
      </c>
      <c r="M110" s="23">
        <v>3072</v>
      </c>
      <c r="N110" s="23">
        <f t="shared" si="73"/>
        <v>3072</v>
      </c>
      <c r="O110" s="23">
        <f t="shared" si="74"/>
        <v>3710.9760000000001</v>
      </c>
      <c r="P110" s="46"/>
    </row>
    <row r="111" spans="1:16" x14ac:dyDescent="0.25">
      <c r="A111" s="45">
        <f>IF(G111&lt;&gt;"",1+MAX($A$13:A110),"")</f>
        <v>52</v>
      </c>
      <c r="B111" s="16" t="s">
        <v>308</v>
      </c>
      <c r="C111" s="16" t="s">
        <v>46</v>
      </c>
      <c r="D111" s="10" t="s">
        <v>130</v>
      </c>
      <c r="E111" s="31">
        <v>1</v>
      </c>
      <c r="F111" s="39">
        <f>VLOOKUP(H111,'PROJECT SUMMARY'!$C$26:$D$32,2,0)</f>
        <v>0</v>
      </c>
      <c r="G111" s="31">
        <f t="shared" si="70"/>
        <v>1</v>
      </c>
      <c r="H111" s="16" t="s">
        <v>10</v>
      </c>
      <c r="I111" s="62">
        <v>10.24</v>
      </c>
      <c r="J111" s="71">
        <f t="shared" si="71"/>
        <v>10.24</v>
      </c>
      <c r="K111" s="23">
        <v>52</v>
      </c>
      <c r="L111" s="23">
        <f t="shared" si="72"/>
        <v>532.48</v>
      </c>
      <c r="M111" s="23">
        <v>2560</v>
      </c>
      <c r="N111" s="23">
        <f t="shared" si="73"/>
        <v>2560</v>
      </c>
      <c r="O111" s="23">
        <f t="shared" si="74"/>
        <v>3092.48</v>
      </c>
      <c r="P111" s="46"/>
    </row>
    <row r="112" spans="1:16" x14ac:dyDescent="0.25">
      <c r="A112" s="45">
        <f>IF(G112&lt;&gt;"",1+MAX($A$13:A111),"")</f>
        <v>53</v>
      </c>
      <c r="B112" s="16" t="s">
        <v>308</v>
      </c>
      <c r="C112" s="16" t="s">
        <v>46</v>
      </c>
      <c r="D112" s="10" t="s">
        <v>131</v>
      </c>
      <c r="E112" s="31">
        <v>1</v>
      </c>
      <c r="F112" s="39">
        <f>VLOOKUP(H112,'PROJECT SUMMARY'!$C$26:$D$32,2,0)</f>
        <v>0</v>
      </c>
      <c r="G112" s="31">
        <f t="shared" si="70"/>
        <v>1</v>
      </c>
      <c r="H112" s="16" t="s">
        <v>10</v>
      </c>
      <c r="I112" s="62">
        <v>14.336</v>
      </c>
      <c r="J112" s="71">
        <f t="shared" si="71"/>
        <v>14.336</v>
      </c>
      <c r="K112" s="23">
        <v>52</v>
      </c>
      <c r="L112" s="23">
        <f t="shared" si="72"/>
        <v>745.47199999999998</v>
      </c>
      <c r="M112" s="23">
        <v>3584</v>
      </c>
      <c r="N112" s="23">
        <f t="shared" si="73"/>
        <v>3584</v>
      </c>
      <c r="O112" s="23">
        <f t="shared" si="74"/>
        <v>4329.4719999999998</v>
      </c>
      <c r="P112" s="46"/>
    </row>
    <row r="113" spans="1:16" x14ac:dyDescent="0.25">
      <c r="A113" s="45">
        <f>IF(G113&lt;&gt;"",1+MAX($A$13:A112),"")</f>
        <v>54</v>
      </c>
      <c r="B113" s="16" t="s">
        <v>308</v>
      </c>
      <c r="C113" s="16" t="s">
        <v>46</v>
      </c>
      <c r="D113" s="10" t="s">
        <v>132</v>
      </c>
      <c r="E113" s="31">
        <v>1</v>
      </c>
      <c r="F113" s="39">
        <f>VLOOKUP(H113,'PROJECT SUMMARY'!$C$26:$D$32,2,0)</f>
        <v>0</v>
      </c>
      <c r="G113" s="31">
        <f t="shared" si="70"/>
        <v>1</v>
      </c>
      <c r="H113" s="16" t="s">
        <v>10</v>
      </c>
      <c r="I113" s="62">
        <v>4.1753600000000004</v>
      </c>
      <c r="J113" s="71">
        <f t="shared" si="71"/>
        <v>4.1753600000000004</v>
      </c>
      <c r="K113" s="23">
        <v>52</v>
      </c>
      <c r="L113" s="23">
        <f t="shared" si="72"/>
        <v>217.11872000000002</v>
      </c>
      <c r="M113" s="23">
        <v>596.48</v>
      </c>
      <c r="N113" s="23">
        <f t="shared" si="73"/>
        <v>596.48</v>
      </c>
      <c r="O113" s="23">
        <f t="shared" si="74"/>
        <v>813.59872000000007</v>
      </c>
      <c r="P113" s="46"/>
    </row>
    <row r="114" spans="1:16" x14ac:dyDescent="0.25">
      <c r="A114" s="45">
        <f>IF(G114&lt;&gt;"",1+MAX($A$13:A113),"")</f>
        <v>55</v>
      </c>
      <c r="B114" s="16" t="s">
        <v>308</v>
      </c>
      <c r="C114" s="16" t="s">
        <v>46</v>
      </c>
      <c r="D114" s="10" t="s">
        <v>133</v>
      </c>
      <c r="E114" s="31">
        <v>2</v>
      </c>
      <c r="F114" s="39">
        <f>VLOOKUP(H114,'PROJECT SUMMARY'!$C$26:$D$32,2,0)</f>
        <v>0</v>
      </c>
      <c r="G114" s="31">
        <f t="shared" si="70"/>
        <v>2</v>
      </c>
      <c r="H114" s="16" t="s">
        <v>10</v>
      </c>
      <c r="I114" s="62">
        <v>10.752000000000001</v>
      </c>
      <c r="J114" s="71">
        <f t="shared" si="71"/>
        <v>21.504000000000001</v>
      </c>
      <c r="K114" s="23">
        <v>52</v>
      </c>
      <c r="L114" s="23">
        <f t="shared" si="72"/>
        <v>1118.2080000000001</v>
      </c>
      <c r="M114" s="23">
        <v>1536</v>
      </c>
      <c r="N114" s="23">
        <f t="shared" si="73"/>
        <v>3072</v>
      </c>
      <c r="O114" s="23">
        <f t="shared" si="74"/>
        <v>4190.2080000000005</v>
      </c>
      <c r="P114" s="46"/>
    </row>
    <row r="115" spans="1:16" x14ac:dyDescent="0.25">
      <c r="A115" s="45">
        <f>IF(G115&lt;&gt;"",1+MAX($A$13:A114),"")</f>
        <v>56</v>
      </c>
      <c r="B115" s="16" t="s">
        <v>308</v>
      </c>
      <c r="C115" s="16" t="s">
        <v>46</v>
      </c>
      <c r="D115" s="10" t="s">
        <v>134</v>
      </c>
      <c r="E115" s="31">
        <v>1</v>
      </c>
      <c r="F115" s="39">
        <f>VLOOKUP(H115,'PROJECT SUMMARY'!$C$26:$D$32,2,0)</f>
        <v>0</v>
      </c>
      <c r="G115" s="31">
        <f t="shared" si="70"/>
        <v>1</v>
      </c>
      <c r="H115" s="16" t="s">
        <v>10</v>
      </c>
      <c r="I115" s="62">
        <v>4.7846399999999996</v>
      </c>
      <c r="J115" s="71">
        <f t="shared" si="71"/>
        <v>4.7846399999999996</v>
      </c>
      <c r="K115" s="23">
        <v>52</v>
      </c>
      <c r="L115" s="23">
        <f t="shared" si="72"/>
        <v>248.80127999999996</v>
      </c>
      <c r="M115" s="23">
        <v>683.52</v>
      </c>
      <c r="N115" s="23">
        <f t="shared" si="73"/>
        <v>683.52</v>
      </c>
      <c r="O115" s="23">
        <f t="shared" si="74"/>
        <v>932.32127999999989</v>
      </c>
      <c r="P115" s="46"/>
    </row>
    <row r="116" spans="1:16" x14ac:dyDescent="0.25">
      <c r="A116" s="45">
        <f>IF(G116&lt;&gt;"",1+MAX($A$13:A115),"")</f>
        <v>57</v>
      </c>
      <c r="B116" s="16" t="s">
        <v>308</v>
      </c>
      <c r="C116" s="16" t="s">
        <v>46</v>
      </c>
      <c r="D116" s="10" t="s">
        <v>135</v>
      </c>
      <c r="E116" s="31">
        <v>1</v>
      </c>
      <c r="F116" s="39">
        <f>VLOOKUP(H116,'PROJECT SUMMARY'!$C$26:$D$32,2,0)</f>
        <v>0</v>
      </c>
      <c r="G116" s="31">
        <f t="shared" si="70"/>
        <v>1</v>
      </c>
      <c r="H116" s="16" t="s">
        <v>10</v>
      </c>
      <c r="I116" s="62">
        <v>8.9600000000000009</v>
      </c>
      <c r="J116" s="71">
        <f t="shared" si="71"/>
        <v>8.9600000000000009</v>
      </c>
      <c r="K116" s="23">
        <v>52</v>
      </c>
      <c r="L116" s="23">
        <f t="shared" si="72"/>
        <v>465.92000000000007</v>
      </c>
      <c r="M116" s="23">
        <v>1280</v>
      </c>
      <c r="N116" s="23">
        <f t="shared" si="73"/>
        <v>1280</v>
      </c>
      <c r="O116" s="23">
        <f t="shared" si="74"/>
        <v>1745.92</v>
      </c>
      <c r="P116" s="46"/>
    </row>
    <row r="117" spans="1:16" x14ac:dyDescent="0.25">
      <c r="A117" s="45">
        <f>IF(G117&lt;&gt;"",1+MAX($A$13:A116),"")</f>
        <v>58</v>
      </c>
      <c r="B117" s="16" t="s">
        <v>308</v>
      </c>
      <c r="C117" s="16" t="s">
        <v>46</v>
      </c>
      <c r="D117" s="10" t="s">
        <v>127</v>
      </c>
      <c r="E117" s="31">
        <v>2</v>
      </c>
      <c r="F117" s="39">
        <f>VLOOKUP(H117,'PROJECT SUMMARY'!$C$26:$D$32,2,0)</f>
        <v>0</v>
      </c>
      <c r="G117" s="31">
        <f t="shared" si="70"/>
        <v>2</v>
      </c>
      <c r="H117" s="16" t="s">
        <v>10</v>
      </c>
      <c r="I117" s="62">
        <v>5.3760000000000003</v>
      </c>
      <c r="J117" s="71">
        <f t="shared" si="71"/>
        <v>10.752000000000001</v>
      </c>
      <c r="K117" s="23">
        <v>52</v>
      </c>
      <c r="L117" s="23">
        <f t="shared" si="72"/>
        <v>559.10400000000004</v>
      </c>
      <c r="M117" s="23">
        <v>768</v>
      </c>
      <c r="N117" s="23">
        <f t="shared" si="73"/>
        <v>1536</v>
      </c>
      <c r="O117" s="23">
        <f t="shared" si="74"/>
        <v>2095.1040000000003</v>
      </c>
      <c r="P117" s="46"/>
    </row>
    <row r="118" spans="1:16" x14ac:dyDescent="0.25">
      <c r="A118" s="45">
        <f>IF(G118&lt;&gt;"",1+MAX($A$13:A117),"")</f>
        <v>59</v>
      </c>
      <c r="B118" s="16" t="s">
        <v>308</v>
      </c>
      <c r="C118" s="16" t="s">
        <v>46</v>
      </c>
      <c r="D118" s="10" t="s">
        <v>136</v>
      </c>
      <c r="E118" s="31">
        <v>3</v>
      </c>
      <c r="F118" s="39">
        <f>VLOOKUP(H118,'PROJECT SUMMARY'!$C$26:$D$32,2,0)</f>
        <v>0</v>
      </c>
      <c r="G118" s="31">
        <f t="shared" si="70"/>
        <v>3</v>
      </c>
      <c r="H118" s="16" t="s">
        <v>10</v>
      </c>
      <c r="I118" s="62">
        <v>4.4800000000000004</v>
      </c>
      <c r="J118" s="71">
        <f t="shared" si="71"/>
        <v>13.440000000000001</v>
      </c>
      <c r="K118" s="23">
        <v>52</v>
      </c>
      <c r="L118" s="23">
        <f t="shared" si="72"/>
        <v>698.88000000000011</v>
      </c>
      <c r="M118" s="23">
        <v>640</v>
      </c>
      <c r="N118" s="23">
        <f t="shared" si="73"/>
        <v>1920</v>
      </c>
      <c r="O118" s="23">
        <f t="shared" si="74"/>
        <v>2618.88</v>
      </c>
      <c r="P118" s="46"/>
    </row>
    <row r="119" spans="1:16" x14ac:dyDescent="0.25">
      <c r="A119" s="45">
        <f>IF(G119&lt;&gt;"",1+MAX($A$13:A118),"")</f>
        <v>60</v>
      </c>
      <c r="B119" s="16" t="s">
        <v>308</v>
      </c>
      <c r="C119" s="16" t="s">
        <v>46</v>
      </c>
      <c r="D119" s="10" t="s">
        <v>137</v>
      </c>
      <c r="E119" s="31">
        <v>1</v>
      </c>
      <c r="F119" s="39">
        <f>VLOOKUP(H119,'PROJECT SUMMARY'!$C$26:$D$32,2,0)</f>
        <v>0</v>
      </c>
      <c r="G119" s="31">
        <f t="shared" si="70"/>
        <v>1</v>
      </c>
      <c r="H119" s="16" t="s">
        <v>10</v>
      </c>
      <c r="I119" s="62">
        <v>7.1680000000000001</v>
      </c>
      <c r="J119" s="71">
        <f t="shared" si="71"/>
        <v>7.1680000000000001</v>
      </c>
      <c r="K119" s="23">
        <v>52</v>
      </c>
      <c r="L119" s="23">
        <f t="shared" si="72"/>
        <v>372.73599999999999</v>
      </c>
      <c r="M119" s="23">
        <v>1024</v>
      </c>
      <c r="N119" s="23">
        <f t="shared" si="73"/>
        <v>1024</v>
      </c>
      <c r="O119" s="23">
        <f t="shared" si="74"/>
        <v>1396.7359999999999</v>
      </c>
      <c r="P119" s="46"/>
    </row>
    <row r="120" spans="1:16" x14ac:dyDescent="0.25">
      <c r="A120" s="45">
        <f>IF(G120&lt;&gt;"",1+MAX($A$13:A119),"")</f>
        <v>61</v>
      </c>
      <c r="B120" s="16" t="s">
        <v>308</v>
      </c>
      <c r="C120" s="16" t="s">
        <v>46</v>
      </c>
      <c r="D120" s="10" t="s">
        <v>126</v>
      </c>
      <c r="E120" s="31">
        <v>2</v>
      </c>
      <c r="F120" s="39">
        <f>VLOOKUP(H120,'PROJECT SUMMARY'!$C$26:$D$32,2,0)</f>
        <v>0</v>
      </c>
      <c r="G120" s="31">
        <f t="shared" si="70"/>
        <v>2</v>
      </c>
      <c r="H120" s="16" t="s">
        <v>10</v>
      </c>
      <c r="I120" s="62">
        <v>4.7846399999999996</v>
      </c>
      <c r="J120" s="71">
        <f t="shared" si="71"/>
        <v>9.5692799999999991</v>
      </c>
      <c r="K120" s="23">
        <v>52</v>
      </c>
      <c r="L120" s="23">
        <f t="shared" si="72"/>
        <v>497.60255999999993</v>
      </c>
      <c r="M120" s="23">
        <v>683.52</v>
      </c>
      <c r="N120" s="23">
        <f t="shared" si="73"/>
        <v>1367.04</v>
      </c>
      <c r="O120" s="23">
        <f t="shared" si="74"/>
        <v>1864.6425599999998</v>
      </c>
      <c r="P120" s="46"/>
    </row>
    <row r="121" spans="1:16" x14ac:dyDescent="0.25">
      <c r="A121" s="45">
        <f>IF(G121&lt;&gt;"",1+MAX($A$13:A120),"")</f>
        <v>62</v>
      </c>
      <c r="B121" s="16" t="s">
        <v>308</v>
      </c>
      <c r="C121" s="16" t="s">
        <v>46</v>
      </c>
      <c r="D121" s="10" t="s">
        <v>138</v>
      </c>
      <c r="E121" s="31">
        <v>2</v>
      </c>
      <c r="F121" s="39">
        <f>VLOOKUP(H121,'PROJECT SUMMARY'!$C$26:$D$32,2,0)</f>
        <v>0</v>
      </c>
      <c r="G121" s="31">
        <f t="shared" si="70"/>
        <v>2</v>
      </c>
      <c r="H121" s="16" t="s">
        <v>10</v>
      </c>
      <c r="I121" s="62">
        <v>4.4800000000000004</v>
      </c>
      <c r="J121" s="71">
        <f t="shared" si="71"/>
        <v>8.9600000000000009</v>
      </c>
      <c r="K121" s="23">
        <v>52</v>
      </c>
      <c r="L121" s="23">
        <f t="shared" si="72"/>
        <v>465.92000000000007</v>
      </c>
      <c r="M121" s="23">
        <v>640</v>
      </c>
      <c r="N121" s="23">
        <f t="shared" si="73"/>
        <v>1280</v>
      </c>
      <c r="O121" s="23">
        <f t="shared" si="74"/>
        <v>1745.92</v>
      </c>
      <c r="P121" s="46"/>
    </row>
    <row r="122" spans="1:16" x14ac:dyDescent="0.25">
      <c r="A122" s="45">
        <f>IF(G122&lt;&gt;"",1+MAX($A$13:A121),"")</f>
        <v>63</v>
      </c>
      <c r="B122" s="16" t="s">
        <v>308</v>
      </c>
      <c r="C122" s="16" t="s">
        <v>46</v>
      </c>
      <c r="D122" s="10" t="s">
        <v>139</v>
      </c>
      <c r="E122" s="31">
        <v>1</v>
      </c>
      <c r="F122" s="39">
        <f>VLOOKUP(H122,'PROJECT SUMMARY'!$C$26:$D$32,2,0)</f>
        <v>0</v>
      </c>
      <c r="G122" s="31">
        <f t="shared" si="70"/>
        <v>1</v>
      </c>
      <c r="H122" s="16" t="s">
        <v>10</v>
      </c>
      <c r="I122" s="62">
        <v>38.880000000000003</v>
      </c>
      <c r="J122" s="71">
        <f t="shared" si="71"/>
        <v>38.880000000000003</v>
      </c>
      <c r="K122" s="23">
        <v>52</v>
      </c>
      <c r="L122" s="23">
        <f t="shared" si="72"/>
        <v>2021.7600000000002</v>
      </c>
      <c r="M122" s="23">
        <v>9720</v>
      </c>
      <c r="N122" s="23">
        <f t="shared" si="73"/>
        <v>9720</v>
      </c>
      <c r="O122" s="23">
        <f t="shared" si="74"/>
        <v>11741.76</v>
      </c>
      <c r="P122" s="46"/>
    </row>
    <row r="123" spans="1:16" x14ac:dyDescent="0.25">
      <c r="A123" s="45">
        <f>IF(G123&lt;&gt;"",1+MAX($A$13:A122),"")</f>
        <v>64</v>
      </c>
      <c r="B123" s="16" t="s">
        <v>308</v>
      </c>
      <c r="C123" s="16" t="s">
        <v>46</v>
      </c>
      <c r="D123" s="10" t="s">
        <v>140</v>
      </c>
      <c r="E123" s="31">
        <v>1</v>
      </c>
      <c r="F123" s="39">
        <f>VLOOKUP(H123,'PROJECT SUMMARY'!$C$26:$D$32,2,0)</f>
        <v>0</v>
      </c>
      <c r="G123" s="31">
        <f t="shared" si="70"/>
        <v>1</v>
      </c>
      <c r="H123" s="16" t="s">
        <v>10</v>
      </c>
      <c r="I123" s="62">
        <v>28.8</v>
      </c>
      <c r="J123" s="71">
        <f t="shared" si="71"/>
        <v>28.8</v>
      </c>
      <c r="K123" s="23">
        <v>52</v>
      </c>
      <c r="L123" s="23">
        <f t="shared" si="72"/>
        <v>1497.6000000000001</v>
      </c>
      <c r="M123" s="23">
        <v>7200</v>
      </c>
      <c r="N123" s="23">
        <f t="shared" si="73"/>
        <v>7200</v>
      </c>
      <c r="O123" s="23">
        <f t="shared" si="74"/>
        <v>8697.6</v>
      </c>
      <c r="P123" s="46"/>
    </row>
    <row r="124" spans="1:16" x14ac:dyDescent="0.25">
      <c r="A124" s="45" t="str">
        <f>IF(G124&lt;&gt;"",1+MAX($A$13:A123),"")</f>
        <v/>
      </c>
      <c r="I124" s="62"/>
      <c r="J124" s="71"/>
      <c r="P124" s="46"/>
    </row>
    <row r="125" spans="1:16" x14ac:dyDescent="0.25">
      <c r="A125" s="45" t="str">
        <f>IF(G125&lt;&gt;"",1+MAX($A$13:A124),"")</f>
        <v/>
      </c>
      <c r="D125" s="58" t="s">
        <v>48</v>
      </c>
      <c r="I125" s="62"/>
      <c r="J125" s="71"/>
      <c r="P125" s="46"/>
    </row>
    <row r="126" spans="1:16" x14ac:dyDescent="0.25">
      <c r="A126" s="45">
        <f>IF(G126&lt;&gt;"",1+MAX($A$13:A125),"")</f>
        <v>65</v>
      </c>
      <c r="B126" s="16" t="s">
        <v>308</v>
      </c>
      <c r="C126" s="16" t="s">
        <v>46</v>
      </c>
      <c r="D126" s="10" t="s">
        <v>141</v>
      </c>
      <c r="E126" s="31">
        <v>21</v>
      </c>
      <c r="F126" s="39">
        <f>VLOOKUP(H126,'PROJECT SUMMARY'!$C$26:$D$32,2,0)</f>
        <v>0</v>
      </c>
      <c r="G126" s="31">
        <f t="shared" ref="G126" si="75">E126*(1+F126)</f>
        <v>21</v>
      </c>
      <c r="H126" s="16" t="s">
        <v>10</v>
      </c>
      <c r="I126" s="62">
        <v>2</v>
      </c>
      <c r="J126" s="71">
        <f t="shared" ref="J126" si="76">I126*G126</f>
        <v>42</v>
      </c>
      <c r="K126" s="23">
        <v>52</v>
      </c>
      <c r="L126" s="23">
        <f t="shared" ref="L126" si="77">K126*J126</f>
        <v>2184</v>
      </c>
      <c r="M126" s="23">
        <v>350</v>
      </c>
      <c r="N126" s="23">
        <f t="shared" ref="N126" si="78">M126*G126</f>
        <v>7350</v>
      </c>
      <c r="O126" s="23">
        <f t="shared" ref="O126" si="79">L126+N126</f>
        <v>9534</v>
      </c>
      <c r="P126" s="46"/>
    </row>
    <row r="127" spans="1:16" x14ac:dyDescent="0.25">
      <c r="A127" s="45" t="str">
        <f>IF(G127&lt;&gt;"",1+MAX($A$13:A126),"")</f>
        <v/>
      </c>
      <c r="I127" s="62"/>
      <c r="J127" s="71"/>
      <c r="P127" s="46"/>
    </row>
    <row r="128" spans="1:16" x14ac:dyDescent="0.25">
      <c r="A128" s="45" t="str">
        <f>IF(G128&lt;&gt;"",1+MAX($A$13:A127),"")</f>
        <v/>
      </c>
      <c r="D128" s="58" t="s">
        <v>154</v>
      </c>
      <c r="I128" s="62"/>
      <c r="J128" s="71"/>
      <c r="P128" s="46"/>
    </row>
    <row r="129" spans="1:16" x14ac:dyDescent="0.25">
      <c r="A129" s="45">
        <f>IF(G129&lt;&gt;"",1+MAX($A$13:A128),"")</f>
        <v>66</v>
      </c>
      <c r="B129" s="16" t="s">
        <v>309</v>
      </c>
      <c r="C129" s="16" t="s">
        <v>46</v>
      </c>
      <c r="D129" s="10" t="s">
        <v>142</v>
      </c>
      <c r="E129" s="31">
        <v>2</v>
      </c>
      <c r="F129" s="39">
        <f>VLOOKUP(H129,'PROJECT SUMMARY'!$C$26:$D$32,2,0)</f>
        <v>0</v>
      </c>
      <c r="G129" s="31">
        <f>E129*(1+F129)</f>
        <v>2</v>
      </c>
      <c r="H129" s="16" t="s">
        <v>10</v>
      </c>
      <c r="I129" s="62">
        <v>2.75</v>
      </c>
      <c r="J129" s="71">
        <f>I129*G129</f>
        <v>5.5</v>
      </c>
      <c r="K129" s="23">
        <v>52</v>
      </c>
      <c r="L129" s="23">
        <f>K129*J129</f>
        <v>286</v>
      </c>
      <c r="M129" s="23">
        <v>343.75</v>
      </c>
      <c r="N129" s="23">
        <f>M129*G129</f>
        <v>687.5</v>
      </c>
      <c r="O129" s="23">
        <f>L129+N129</f>
        <v>973.5</v>
      </c>
      <c r="P129" s="46"/>
    </row>
    <row r="130" spans="1:16" x14ac:dyDescent="0.25">
      <c r="A130" s="45">
        <f>IF(G130&lt;&gt;"",1+MAX($A$13:A129),"")</f>
        <v>67</v>
      </c>
      <c r="B130" s="16" t="s">
        <v>309</v>
      </c>
      <c r="C130" s="16" t="s">
        <v>46</v>
      </c>
      <c r="D130" s="10" t="s">
        <v>143</v>
      </c>
      <c r="E130" s="31">
        <v>2</v>
      </c>
      <c r="F130" s="39">
        <f>VLOOKUP(H130,'PROJECT SUMMARY'!$C$26:$D$32,2,0)</f>
        <v>0</v>
      </c>
      <c r="G130" s="31">
        <f t="shared" ref="G130" si="80">E130*(1+F130)</f>
        <v>2</v>
      </c>
      <c r="H130" s="16" t="s">
        <v>10</v>
      </c>
      <c r="I130" s="62">
        <v>2.875</v>
      </c>
      <c r="J130" s="71">
        <f t="shared" ref="J130:J142" si="81">I130*G130</f>
        <v>5.75</v>
      </c>
      <c r="K130" s="23">
        <v>52</v>
      </c>
      <c r="L130" s="23">
        <f t="shared" ref="L130:L142" si="82">K130*J130</f>
        <v>299</v>
      </c>
      <c r="M130" s="23">
        <v>359.375</v>
      </c>
      <c r="N130" s="23">
        <f t="shared" ref="N130:N142" si="83">M130*G130</f>
        <v>718.75</v>
      </c>
      <c r="O130" s="23">
        <f t="shared" ref="O130:O142" si="84">L130+N130</f>
        <v>1017.75</v>
      </c>
      <c r="P130" s="46"/>
    </row>
    <row r="131" spans="1:16" x14ac:dyDescent="0.25">
      <c r="A131" s="45">
        <f>IF(G131&lt;&gt;"",1+MAX($A$13:A130),"")</f>
        <v>68</v>
      </c>
      <c r="B131" s="16" t="s">
        <v>309</v>
      </c>
      <c r="C131" s="16" t="s">
        <v>46</v>
      </c>
      <c r="D131" s="10" t="s">
        <v>313</v>
      </c>
      <c r="E131" s="31">
        <v>2</v>
      </c>
      <c r="F131" s="39">
        <f>VLOOKUP(H131,'PROJECT SUMMARY'!$C$26:$D$32,2,0)</f>
        <v>0</v>
      </c>
      <c r="G131" s="31">
        <f t="shared" ref="G131:G142" si="85">E131*(1+F131)</f>
        <v>2</v>
      </c>
      <c r="H131" s="16" t="s">
        <v>10</v>
      </c>
      <c r="I131" s="62">
        <v>2.65</v>
      </c>
      <c r="J131" s="71">
        <f t="shared" si="81"/>
        <v>5.3</v>
      </c>
      <c r="K131" s="23">
        <v>52</v>
      </c>
      <c r="L131" s="23">
        <f t="shared" si="82"/>
        <v>275.59999999999997</v>
      </c>
      <c r="M131" s="23">
        <v>331.25</v>
      </c>
      <c r="N131" s="23">
        <f t="shared" si="83"/>
        <v>662.5</v>
      </c>
      <c r="O131" s="23">
        <f t="shared" si="84"/>
        <v>938.09999999999991</v>
      </c>
      <c r="P131" s="46"/>
    </row>
    <row r="132" spans="1:16" x14ac:dyDescent="0.25">
      <c r="A132" s="45">
        <f>IF(G132&lt;&gt;"",1+MAX($A$13:A131),"")</f>
        <v>69</v>
      </c>
      <c r="B132" s="16" t="s">
        <v>309</v>
      </c>
      <c r="C132" s="16" t="s">
        <v>46</v>
      </c>
      <c r="D132" s="10" t="s">
        <v>314</v>
      </c>
      <c r="E132" s="31">
        <v>2</v>
      </c>
      <c r="F132" s="39">
        <f>VLOOKUP(H132,'PROJECT SUMMARY'!$C$26:$D$32,2,0)</f>
        <v>0</v>
      </c>
      <c r="G132" s="31">
        <f t="shared" si="85"/>
        <v>2</v>
      </c>
      <c r="H132" s="16" t="s">
        <v>10</v>
      </c>
      <c r="I132" s="62">
        <v>3.1127199999999999</v>
      </c>
      <c r="J132" s="71">
        <f t="shared" si="81"/>
        <v>6.2254399999999999</v>
      </c>
      <c r="K132" s="23">
        <v>52</v>
      </c>
      <c r="L132" s="23">
        <f t="shared" si="82"/>
        <v>323.72287999999998</v>
      </c>
      <c r="M132" s="23">
        <v>389.09</v>
      </c>
      <c r="N132" s="23">
        <f t="shared" si="83"/>
        <v>778.18</v>
      </c>
      <c r="O132" s="23">
        <f t="shared" si="84"/>
        <v>1101.9028799999999</v>
      </c>
      <c r="P132" s="46"/>
    </row>
    <row r="133" spans="1:16" x14ac:dyDescent="0.25">
      <c r="A133" s="45">
        <f>IF(G133&lt;&gt;"",1+MAX($A$13:A132),"")</f>
        <v>70</v>
      </c>
      <c r="B133" s="16" t="s">
        <v>309</v>
      </c>
      <c r="C133" s="16" t="s">
        <v>46</v>
      </c>
      <c r="D133" s="10" t="s">
        <v>315</v>
      </c>
      <c r="E133" s="31">
        <v>2</v>
      </c>
      <c r="F133" s="39">
        <f>VLOOKUP(H133,'PROJECT SUMMARY'!$C$26:$D$32,2,0)</f>
        <v>0</v>
      </c>
      <c r="G133" s="31">
        <f t="shared" si="85"/>
        <v>2</v>
      </c>
      <c r="H133" s="16" t="s">
        <v>10</v>
      </c>
      <c r="I133" s="62">
        <v>3.6457200000000003</v>
      </c>
      <c r="J133" s="71">
        <f t="shared" si="81"/>
        <v>7.2914400000000006</v>
      </c>
      <c r="K133" s="23">
        <v>52</v>
      </c>
      <c r="L133" s="23">
        <f t="shared" si="82"/>
        <v>379.15488000000005</v>
      </c>
      <c r="M133" s="23">
        <v>455.71500000000003</v>
      </c>
      <c r="N133" s="23">
        <f t="shared" si="83"/>
        <v>911.43000000000006</v>
      </c>
      <c r="O133" s="23">
        <f t="shared" si="84"/>
        <v>1290.5848800000001</v>
      </c>
      <c r="P133" s="46"/>
    </row>
    <row r="134" spans="1:16" x14ac:dyDescent="0.25">
      <c r="A134" s="45">
        <f>IF(G134&lt;&gt;"",1+MAX($A$13:A133),"")</f>
        <v>71</v>
      </c>
      <c r="B134" s="16" t="s">
        <v>309</v>
      </c>
      <c r="C134" s="16" t="s">
        <v>46</v>
      </c>
      <c r="D134" s="10" t="s">
        <v>144</v>
      </c>
      <c r="E134" s="31">
        <v>2</v>
      </c>
      <c r="F134" s="39">
        <f>VLOOKUP(H134,'PROJECT SUMMARY'!$C$26:$D$32,2,0)</f>
        <v>0</v>
      </c>
      <c r="G134" s="31">
        <f t="shared" si="85"/>
        <v>2</v>
      </c>
      <c r="H134" s="16" t="s">
        <v>10</v>
      </c>
      <c r="I134" s="62">
        <v>2.7</v>
      </c>
      <c r="J134" s="71">
        <f t="shared" si="81"/>
        <v>5.4</v>
      </c>
      <c r="K134" s="23">
        <v>52</v>
      </c>
      <c r="L134" s="23">
        <f t="shared" si="82"/>
        <v>280.8</v>
      </c>
      <c r="M134" s="23">
        <v>337.5</v>
      </c>
      <c r="N134" s="23">
        <f t="shared" si="83"/>
        <v>675</v>
      </c>
      <c r="O134" s="23">
        <f t="shared" si="84"/>
        <v>955.8</v>
      </c>
      <c r="P134" s="46"/>
    </row>
    <row r="135" spans="1:16" x14ac:dyDescent="0.25">
      <c r="A135" s="45">
        <f>IF(G135&lt;&gt;"",1+MAX($A$13:A134),"")</f>
        <v>72</v>
      </c>
      <c r="B135" s="16" t="s">
        <v>309</v>
      </c>
      <c r="C135" s="16" t="s">
        <v>46</v>
      </c>
      <c r="D135" s="10" t="s">
        <v>145</v>
      </c>
      <c r="E135" s="31">
        <v>1</v>
      </c>
      <c r="F135" s="39">
        <f>VLOOKUP(H135,'PROJECT SUMMARY'!$C$26:$D$32,2,0)</f>
        <v>0</v>
      </c>
      <c r="G135" s="31">
        <f t="shared" si="85"/>
        <v>1</v>
      </c>
      <c r="H135" s="16" t="s">
        <v>10</v>
      </c>
      <c r="I135" s="62">
        <v>8.1</v>
      </c>
      <c r="J135" s="71">
        <f t="shared" si="81"/>
        <v>8.1</v>
      </c>
      <c r="K135" s="23">
        <v>52</v>
      </c>
      <c r="L135" s="23">
        <f t="shared" si="82"/>
        <v>421.2</v>
      </c>
      <c r="M135" s="23">
        <v>1350</v>
      </c>
      <c r="N135" s="23">
        <f t="shared" si="83"/>
        <v>1350</v>
      </c>
      <c r="O135" s="23">
        <f t="shared" si="84"/>
        <v>1771.2</v>
      </c>
      <c r="P135" s="46"/>
    </row>
    <row r="136" spans="1:16" x14ac:dyDescent="0.25">
      <c r="A136" s="45">
        <f>IF(G136&lt;&gt;"",1+MAX($A$13:A135),"")</f>
        <v>73</v>
      </c>
      <c r="B136" s="16" t="s">
        <v>309</v>
      </c>
      <c r="C136" s="16" t="s">
        <v>46</v>
      </c>
      <c r="D136" s="10" t="s">
        <v>146</v>
      </c>
      <c r="E136" s="31">
        <v>1</v>
      </c>
      <c r="F136" s="39">
        <f>VLOOKUP(H136,'PROJECT SUMMARY'!$C$26:$D$32,2,0)</f>
        <v>0</v>
      </c>
      <c r="G136" s="31">
        <f t="shared" si="85"/>
        <v>1</v>
      </c>
      <c r="H136" s="16" t="s">
        <v>10</v>
      </c>
      <c r="I136" s="62">
        <v>1.35</v>
      </c>
      <c r="J136" s="71">
        <f t="shared" si="81"/>
        <v>1.35</v>
      </c>
      <c r="K136" s="23">
        <v>52</v>
      </c>
      <c r="L136" s="23">
        <f t="shared" si="82"/>
        <v>70.2</v>
      </c>
      <c r="M136" s="23">
        <v>112.5</v>
      </c>
      <c r="N136" s="23">
        <f t="shared" si="83"/>
        <v>112.5</v>
      </c>
      <c r="O136" s="23">
        <f t="shared" si="84"/>
        <v>182.7</v>
      </c>
      <c r="P136" s="46"/>
    </row>
    <row r="137" spans="1:16" x14ac:dyDescent="0.25">
      <c r="A137" s="45">
        <f>IF(G137&lt;&gt;"",1+MAX($A$13:A136),"")</f>
        <v>74</v>
      </c>
      <c r="B137" s="16" t="s">
        <v>309</v>
      </c>
      <c r="C137" s="16" t="s">
        <v>46</v>
      </c>
      <c r="D137" s="10" t="s">
        <v>147</v>
      </c>
      <c r="E137" s="31">
        <v>3</v>
      </c>
      <c r="F137" s="39">
        <f>VLOOKUP(H137,'PROJECT SUMMARY'!$C$26:$D$32,2,0)</f>
        <v>0</v>
      </c>
      <c r="G137" s="31">
        <f t="shared" si="85"/>
        <v>3</v>
      </c>
      <c r="H137" s="16" t="s">
        <v>10</v>
      </c>
      <c r="I137" s="62">
        <v>2.25</v>
      </c>
      <c r="J137" s="71">
        <f t="shared" si="81"/>
        <v>6.75</v>
      </c>
      <c r="K137" s="23">
        <v>52</v>
      </c>
      <c r="L137" s="23">
        <f t="shared" si="82"/>
        <v>351</v>
      </c>
      <c r="M137" s="23">
        <v>187.5</v>
      </c>
      <c r="N137" s="23">
        <f t="shared" si="83"/>
        <v>562.5</v>
      </c>
      <c r="O137" s="23">
        <f t="shared" si="84"/>
        <v>913.5</v>
      </c>
      <c r="P137" s="46"/>
    </row>
    <row r="138" spans="1:16" x14ac:dyDescent="0.25">
      <c r="A138" s="45">
        <f>IF(G138&lt;&gt;"",1+MAX($A$13:A137),"")</f>
        <v>75</v>
      </c>
      <c r="B138" s="16" t="s">
        <v>309</v>
      </c>
      <c r="C138" s="16" t="s">
        <v>46</v>
      </c>
      <c r="D138" s="10" t="s">
        <v>148</v>
      </c>
      <c r="E138" s="31">
        <v>1</v>
      </c>
      <c r="F138" s="39">
        <f>VLOOKUP(H138,'PROJECT SUMMARY'!$C$26:$D$32,2,0)</f>
        <v>0</v>
      </c>
      <c r="G138" s="31">
        <f t="shared" si="85"/>
        <v>1</v>
      </c>
      <c r="H138" s="16" t="s">
        <v>10</v>
      </c>
      <c r="I138" s="62">
        <v>9</v>
      </c>
      <c r="J138" s="71">
        <f t="shared" si="81"/>
        <v>9</v>
      </c>
      <c r="K138" s="23">
        <v>52</v>
      </c>
      <c r="L138" s="23">
        <f t="shared" si="82"/>
        <v>468</v>
      </c>
      <c r="M138" s="23">
        <v>1500</v>
      </c>
      <c r="N138" s="23">
        <f t="shared" si="83"/>
        <v>1500</v>
      </c>
      <c r="O138" s="23">
        <f t="shared" si="84"/>
        <v>1968</v>
      </c>
      <c r="P138" s="46"/>
    </row>
    <row r="139" spans="1:16" x14ac:dyDescent="0.25">
      <c r="A139" s="45">
        <f>IF(G139&lt;&gt;"",1+MAX($A$13:A138),"")</f>
        <v>76</v>
      </c>
      <c r="B139" s="16" t="s">
        <v>309</v>
      </c>
      <c r="C139" s="16" t="s">
        <v>46</v>
      </c>
      <c r="D139" s="10" t="s">
        <v>149</v>
      </c>
      <c r="E139" s="31">
        <v>2</v>
      </c>
      <c r="F139" s="39">
        <f>VLOOKUP(H139,'PROJECT SUMMARY'!$C$26:$D$32,2,0)</f>
        <v>0</v>
      </c>
      <c r="G139" s="31">
        <f t="shared" si="85"/>
        <v>2</v>
      </c>
      <c r="H139" s="16" t="s">
        <v>10</v>
      </c>
      <c r="I139" s="62">
        <v>6</v>
      </c>
      <c r="J139" s="71">
        <f t="shared" si="81"/>
        <v>12</v>
      </c>
      <c r="K139" s="23">
        <v>52</v>
      </c>
      <c r="L139" s="23">
        <f t="shared" si="82"/>
        <v>624</v>
      </c>
      <c r="M139" s="23">
        <v>750</v>
      </c>
      <c r="N139" s="23">
        <f t="shared" si="83"/>
        <v>1500</v>
      </c>
      <c r="O139" s="23">
        <f t="shared" si="84"/>
        <v>2124</v>
      </c>
      <c r="P139" s="46"/>
    </row>
    <row r="140" spans="1:16" x14ac:dyDescent="0.25">
      <c r="A140" s="45">
        <f>IF(G140&lt;&gt;"",1+MAX($A$13:A139),"")</f>
        <v>77</v>
      </c>
      <c r="B140" s="16" t="s">
        <v>309</v>
      </c>
      <c r="C140" s="16" t="s">
        <v>46</v>
      </c>
      <c r="D140" s="10" t="s">
        <v>150</v>
      </c>
      <c r="E140" s="31">
        <v>1</v>
      </c>
      <c r="F140" s="39">
        <f>VLOOKUP(H140,'PROJECT SUMMARY'!$C$26:$D$32,2,0)</f>
        <v>0</v>
      </c>
      <c r="G140" s="31">
        <f t="shared" si="85"/>
        <v>1</v>
      </c>
      <c r="H140" s="16" t="s">
        <v>10</v>
      </c>
      <c r="I140" s="62">
        <v>4</v>
      </c>
      <c r="J140" s="71">
        <f t="shared" si="81"/>
        <v>4</v>
      </c>
      <c r="K140" s="23">
        <v>52</v>
      </c>
      <c r="L140" s="23">
        <f t="shared" si="82"/>
        <v>208</v>
      </c>
      <c r="M140" s="23">
        <v>500</v>
      </c>
      <c r="N140" s="23">
        <f t="shared" si="83"/>
        <v>500</v>
      </c>
      <c r="O140" s="23">
        <f t="shared" si="84"/>
        <v>708</v>
      </c>
      <c r="P140" s="46"/>
    </row>
    <row r="141" spans="1:16" x14ac:dyDescent="0.25">
      <c r="A141" s="45">
        <f>IF(G141&lt;&gt;"",1+MAX($A$13:A140),"")</f>
        <v>78</v>
      </c>
      <c r="B141" s="16" t="s">
        <v>309</v>
      </c>
      <c r="C141" s="16" t="s">
        <v>46</v>
      </c>
      <c r="D141" s="10" t="s">
        <v>151</v>
      </c>
      <c r="E141" s="31">
        <v>1</v>
      </c>
      <c r="F141" s="39">
        <f>VLOOKUP(H141,'PROJECT SUMMARY'!$C$26:$D$32,2,0)</f>
        <v>0</v>
      </c>
      <c r="G141" s="31">
        <f t="shared" si="85"/>
        <v>1</v>
      </c>
      <c r="H141" s="16" t="s">
        <v>10</v>
      </c>
      <c r="I141" s="62">
        <v>1.875</v>
      </c>
      <c r="J141" s="71">
        <f t="shared" si="81"/>
        <v>1.875</v>
      </c>
      <c r="K141" s="23">
        <v>52</v>
      </c>
      <c r="L141" s="23">
        <f t="shared" si="82"/>
        <v>97.5</v>
      </c>
      <c r="M141" s="23">
        <v>156.25</v>
      </c>
      <c r="N141" s="23">
        <f t="shared" si="83"/>
        <v>156.25</v>
      </c>
      <c r="O141" s="23">
        <f t="shared" si="84"/>
        <v>253.75</v>
      </c>
      <c r="P141" s="46"/>
    </row>
    <row r="142" spans="1:16" x14ac:dyDescent="0.25">
      <c r="A142" s="45">
        <f>IF(G142&lt;&gt;"",1+MAX($A$13:A141),"")</f>
        <v>79</v>
      </c>
      <c r="B142" s="16" t="s">
        <v>309</v>
      </c>
      <c r="C142" s="16" t="s">
        <v>46</v>
      </c>
      <c r="D142" s="10" t="s">
        <v>152</v>
      </c>
      <c r="E142" s="31">
        <v>3</v>
      </c>
      <c r="F142" s="39">
        <f>VLOOKUP(H142,'PROJECT SUMMARY'!$C$26:$D$32,2,0)</f>
        <v>0</v>
      </c>
      <c r="G142" s="31">
        <f t="shared" si="85"/>
        <v>3</v>
      </c>
      <c r="H142" s="16" t="s">
        <v>10</v>
      </c>
      <c r="I142" s="62">
        <v>2.25</v>
      </c>
      <c r="J142" s="71">
        <f t="shared" si="81"/>
        <v>6.75</v>
      </c>
      <c r="K142" s="23">
        <v>52</v>
      </c>
      <c r="L142" s="23">
        <f t="shared" si="82"/>
        <v>351</v>
      </c>
      <c r="M142" s="23">
        <v>281.25</v>
      </c>
      <c r="N142" s="23">
        <f t="shared" si="83"/>
        <v>843.75</v>
      </c>
      <c r="O142" s="23">
        <f t="shared" si="84"/>
        <v>1194.75</v>
      </c>
      <c r="P142" s="46"/>
    </row>
    <row r="143" spans="1:16" ht="16.5" thickBot="1" x14ac:dyDescent="0.3">
      <c r="A143" s="45" t="str">
        <f>IF(G143&lt;&gt;"",1+MAX($A$13:A142),"")</f>
        <v/>
      </c>
      <c r="P143" s="46"/>
    </row>
    <row r="144" spans="1:16" ht="16.5" thickBot="1" x14ac:dyDescent="0.3">
      <c r="A144" s="87" t="str">
        <f>IF(G144&lt;&gt;"",1+MAX($A$13:A143),"")</f>
        <v/>
      </c>
      <c r="B144" s="83"/>
      <c r="C144" s="83" t="s">
        <v>49</v>
      </c>
      <c r="D144" s="81" t="s">
        <v>50</v>
      </c>
      <c r="E144" s="85"/>
      <c r="F144" s="86"/>
      <c r="G144" s="85"/>
      <c r="H144" s="85"/>
      <c r="I144" s="81"/>
      <c r="J144" s="81"/>
      <c r="K144" s="82"/>
      <c r="L144" s="82"/>
      <c r="M144" s="82"/>
      <c r="N144" s="82"/>
      <c r="O144" s="84"/>
      <c r="P144" s="88">
        <f>SUM(O145:O334)</f>
        <v>142780.17676921785</v>
      </c>
    </row>
    <row r="145" spans="1:16" x14ac:dyDescent="0.25">
      <c r="A145" s="45" t="str">
        <f>IF(G145&lt;&gt;"",1+MAX($A$13:A144),"")</f>
        <v/>
      </c>
      <c r="P145" s="46"/>
    </row>
    <row r="146" spans="1:16" ht="18.75" x14ac:dyDescent="0.25">
      <c r="A146" s="45" t="str">
        <f>IF(G146&lt;&gt;"",1+MAX($A$13:A145),"")</f>
        <v/>
      </c>
      <c r="D146" s="78" t="s">
        <v>51</v>
      </c>
      <c r="P146" s="46"/>
    </row>
    <row r="147" spans="1:16" x14ac:dyDescent="0.25">
      <c r="A147" s="45" t="str">
        <f>IF(G147&lt;&gt;"",1+MAX($A$13:A146),"")</f>
        <v/>
      </c>
      <c r="J147" s="80"/>
      <c r="P147" s="46"/>
    </row>
    <row r="148" spans="1:16" x14ac:dyDescent="0.25">
      <c r="A148" s="45" t="str">
        <f>IF(G148&lt;&gt;"",1+MAX($A$13:A147),"")</f>
        <v/>
      </c>
      <c r="D148" s="58" t="s">
        <v>248</v>
      </c>
      <c r="E148" s="79">
        <v>188.52</v>
      </c>
      <c r="H148" s="16" t="s">
        <v>11</v>
      </c>
      <c r="J148" s="80"/>
      <c r="P148" s="46"/>
    </row>
    <row r="149" spans="1:16" x14ac:dyDescent="0.25">
      <c r="A149" s="45">
        <f>IF(G149&lt;&gt;"",1+MAX($A$13:A148),"")</f>
        <v>80</v>
      </c>
      <c r="B149" s="16" t="s">
        <v>303</v>
      </c>
      <c r="C149" s="16" t="s">
        <v>49</v>
      </c>
      <c r="D149" s="59" t="s">
        <v>283</v>
      </c>
      <c r="E149" s="31">
        <f>E148*10.083/32</f>
        <v>59.401473750000001</v>
      </c>
      <c r="F149" s="39">
        <f>VLOOKUP(H149,'PROJECT SUMMARY'!$C$26:$D$32,2,0)</f>
        <v>0</v>
      </c>
      <c r="G149" s="31">
        <f t="shared" ref="G149:G154" si="86">E149*(1+F149)</f>
        <v>59.401473750000001</v>
      </c>
      <c r="H149" s="16" t="s">
        <v>10</v>
      </c>
      <c r="I149" s="62">
        <v>0.35</v>
      </c>
      <c r="J149" s="80">
        <f t="shared" ref="J149:J154" si="87">I149*G149</f>
        <v>20.790515812500001</v>
      </c>
      <c r="K149" s="23">
        <v>47.5</v>
      </c>
      <c r="L149" s="23">
        <f t="shared" ref="L149:L154" si="88">K149*J149</f>
        <v>987.54950109375</v>
      </c>
      <c r="M149" s="23">
        <v>9.6</v>
      </c>
      <c r="N149" s="23">
        <f t="shared" ref="N149:N154" si="89">M149*G149</f>
        <v>570.25414799999999</v>
      </c>
      <c r="O149" s="23">
        <f t="shared" ref="O149:O154" si="90">L149+N149</f>
        <v>1557.80364909375</v>
      </c>
      <c r="P149" s="46"/>
    </row>
    <row r="150" spans="1:16" x14ac:dyDescent="0.25">
      <c r="A150" s="45">
        <f>IF(G150&lt;&gt;"",1+MAX($A$13:A149),"")</f>
        <v>81</v>
      </c>
      <c r="B150" s="16" t="s">
        <v>303</v>
      </c>
      <c r="C150" s="16" t="s">
        <v>49</v>
      </c>
      <c r="D150" s="59" t="s">
        <v>250</v>
      </c>
      <c r="E150" s="31">
        <f>E148/1.33</f>
        <v>141.74436090225564</v>
      </c>
      <c r="F150" s="39">
        <f>VLOOKUP(H150,'PROJECT SUMMARY'!$C$26:$D$32,2,0)</f>
        <v>0</v>
      </c>
      <c r="G150" s="31">
        <f t="shared" si="86"/>
        <v>141.74436090225564</v>
      </c>
      <c r="H150" s="16" t="s">
        <v>10</v>
      </c>
      <c r="I150" s="62">
        <v>0.4</v>
      </c>
      <c r="J150" s="80">
        <f t="shared" si="87"/>
        <v>56.697744360902256</v>
      </c>
      <c r="K150" s="23">
        <v>47.5</v>
      </c>
      <c r="L150" s="23">
        <f t="shared" si="88"/>
        <v>2693.1428571428573</v>
      </c>
      <c r="M150" s="23">
        <v>18.5</v>
      </c>
      <c r="N150" s="23">
        <f t="shared" si="89"/>
        <v>2622.2706766917295</v>
      </c>
      <c r="O150" s="23">
        <f t="shared" si="90"/>
        <v>5315.4135338345868</v>
      </c>
      <c r="P150" s="46"/>
    </row>
    <row r="151" spans="1:16" x14ac:dyDescent="0.25">
      <c r="A151" s="45">
        <f>IF(G151&lt;&gt;"",1+MAX($A$13:A150),"")</f>
        <v>82</v>
      </c>
      <c r="B151" s="16" t="s">
        <v>303</v>
      </c>
      <c r="C151" s="16" t="s">
        <v>49</v>
      </c>
      <c r="D151" s="59" t="s">
        <v>251</v>
      </c>
      <c r="E151" s="31">
        <f>E148*2</f>
        <v>377.04</v>
      </c>
      <c r="F151" s="39">
        <f>VLOOKUP(H151,'PROJECT SUMMARY'!$C$26:$D$32,2,0)</f>
        <v>0.05</v>
      </c>
      <c r="G151" s="31">
        <f t="shared" si="86"/>
        <v>395.89200000000005</v>
      </c>
      <c r="H151" s="16" t="s">
        <v>11</v>
      </c>
      <c r="I151" s="62">
        <v>0.04</v>
      </c>
      <c r="J151" s="80">
        <f t="shared" si="87"/>
        <v>15.835680000000002</v>
      </c>
      <c r="K151" s="23">
        <v>47.5</v>
      </c>
      <c r="L151" s="23">
        <f t="shared" si="88"/>
        <v>752.1948000000001</v>
      </c>
      <c r="M151" s="23">
        <v>1.85</v>
      </c>
      <c r="N151" s="23">
        <f t="shared" si="89"/>
        <v>732.40020000000015</v>
      </c>
      <c r="O151" s="23">
        <f t="shared" si="90"/>
        <v>1484.5950000000003</v>
      </c>
      <c r="P151" s="46"/>
    </row>
    <row r="152" spans="1:16" x14ac:dyDescent="0.25">
      <c r="A152" s="45">
        <f>IF(G152&lt;&gt;"",1+MAX($A$13:A151),"")</f>
        <v>83</v>
      </c>
      <c r="B152" s="16" t="s">
        <v>303</v>
      </c>
      <c r="C152" s="16" t="s">
        <v>49</v>
      </c>
      <c r="D152" s="59" t="s">
        <v>252</v>
      </c>
      <c r="E152" s="31">
        <f>E148</f>
        <v>188.52</v>
      </c>
      <c r="F152" s="39">
        <f>VLOOKUP(H152,'PROJECT SUMMARY'!$C$26:$D$32,2,0)</f>
        <v>0.05</v>
      </c>
      <c r="G152" s="31">
        <f t="shared" ref="G152" si="91">E152*(1+F152)</f>
        <v>197.94600000000003</v>
      </c>
      <c r="H152" s="16" t="s">
        <v>11</v>
      </c>
      <c r="I152" s="62">
        <v>0.04</v>
      </c>
      <c r="J152" s="80">
        <f t="shared" si="87"/>
        <v>7.9178400000000009</v>
      </c>
      <c r="K152" s="23">
        <v>47.5</v>
      </c>
      <c r="L152" s="23">
        <f t="shared" si="88"/>
        <v>376.09740000000005</v>
      </c>
      <c r="M152" s="23">
        <v>1.85</v>
      </c>
      <c r="N152" s="23">
        <f t="shared" si="89"/>
        <v>366.20010000000008</v>
      </c>
      <c r="O152" s="23">
        <f t="shared" si="90"/>
        <v>742.29750000000013</v>
      </c>
      <c r="P152" s="46"/>
    </row>
    <row r="153" spans="1:16" x14ac:dyDescent="0.25">
      <c r="A153" s="45">
        <f>IF(G153&lt;&gt;"",1+MAX($A$13:A152),"")</f>
        <v>84</v>
      </c>
      <c r="B153" s="16" t="s">
        <v>303</v>
      </c>
      <c r="C153" s="16" t="s">
        <v>49</v>
      </c>
      <c r="D153" s="59" t="s">
        <v>253</v>
      </c>
      <c r="E153" s="31">
        <f>E148*10.083</f>
        <v>1900.84716</v>
      </c>
      <c r="F153" s="39">
        <f>VLOOKUP(H153,'PROJECT SUMMARY'!$C$26:$D$32,2,0)</f>
        <v>0.05</v>
      </c>
      <c r="G153" s="31">
        <f t="shared" ref="G153" si="92">E153*(1+F153)</f>
        <v>1995.8895180000002</v>
      </c>
      <c r="H153" s="16" t="s">
        <v>12</v>
      </c>
      <c r="I153" s="62">
        <v>1.4999999999999999E-2</v>
      </c>
      <c r="J153" s="80">
        <f t="shared" si="87"/>
        <v>29.938342770000002</v>
      </c>
      <c r="K153" s="23">
        <v>47.5</v>
      </c>
      <c r="L153" s="23">
        <f t="shared" si="88"/>
        <v>1422.0712815750001</v>
      </c>
      <c r="M153" s="23">
        <v>1.1000000000000001</v>
      </c>
      <c r="N153" s="23">
        <f t="shared" si="89"/>
        <v>2195.4784698000003</v>
      </c>
      <c r="O153" s="23">
        <f t="shared" si="90"/>
        <v>3617.5497513750006</v>
      </c>
      <c r="P153" s="46"/>
    </row>
    <row r="154" spans="1:16" x14ac:dyDescent="0.25">
      <c r="A154" s="45">
        <f>IF(G154&lt;&gt;"",1+MAX($A$13:A153),"")</f>
        <v>85</v>
      </c>
      <c r="B154" s="16" t="s">
        <v>303</v>
      </c>
      <c r="C154" s="16" t="s">
        <v>49</v>
      </c>
      <c r="D154" s="59" t="s">
        <v>68</v>
      </c>
      <c r="E154" s="31">
        <f>E148*4</f>
        <v>754.08</v>
      </c>
      <c r="F154" s="39">
        <f>VLOOKUP(H154,'PROJECT SUMMARY'!$C$26:$D$32,2,0)</f>
        <v>0.05</v>
      </c>
      <c r="G154" s="31">
        <f t="shared" si="86"/>
        <v>791.78400000000011</v>
      </c>
      <c r="H154" s="16" t="s">
        <v>11</v>
      </c>
      <c r="I154" s="62">
        <v>7.0000000000000001E-3</v>
      </c>
      <c r="J154" s="80">
        <f t="shared" si="87"/>
        <v>5.5424880000000005</v>
      </c>
      <c r="K154" s="23">
        <v>47.5</v>
      </c>
      <c r="L154" s="23">
        <f t="shared" si="88"/>
        <v>263.26818000000003</v>
      </c>
      <c r="M154" s="23">
        <v>0.15</v>
      </c>
      <c r="N154" s="23">
        <f t="shared" si="89"/>
        <v>118.76760000000002</v>
      </c>
      <c r="O154" s="23">
        <f t="shared" si="90"/>
        <v>382.03578000000005</v>
      </c>
      <c r="P154" s="46"/>
    </row>
    <row r="155" spans="1:16" x14ac:dyDescent="0.25">
      <c r="A155" s="45" t="str">
        <f>IF(G155&lt;&gt;"",1+MAX($A$13:A154),"")</f>
        <v/>
      </c>
      <c r="J155" s="80"/>
      <c r="P155" s="46"/>
    </row>
    <row r="156" spans="1:16" x14ac:dyDescent="0.25">
      <c r="A156" s="45" t="str">
        <f>IF(G156&lt;&gt;"",1+MAX($A$13:A155),"")</f>
        <v/>
      </c>
      <c r="D156" s="58" t="s">
        <v>279</v>
      </c>
      <c r="E156" s="79">
        <v>16.34</v>
      </c>
      <c r="H156" s="16" t="s">
        <v>11</v>
      </c>
      <c r="J156" s="80"/>
      <c r="P156" s="46"/>
    </row>
    <row r="157" spans="1:16" x14ac:dyDescent="0.25">
      <c r="A157" s="45">
        <f>IF(G157&lt;&gt;"",1+MAX($A$13:A156),"")</f>
        <v>86</v>
      </c>
      <c r="B157" s="16" t="s">
        <v>303</v>
      </c>
      <c r="C157" s="16" t="s">
        <v>49</v>
      </c>
      <c r="D157" s="59" t="s">
        <v>280</v>
      </c>
      <c r="E157" s="31">
        <f>E156/1.33*3.5/8</f>
        <v>5.375</v>
      </c>
      <c r="F157" s="39">
        <f>VLOOKUP(H157,'PROJECT SUMMARY'!$C$26:$D$32,2,0)</f>
        <v>0</v>
      </c>
      <c r="G157" s="31">
        <f t="shared" ref="G157:G160" si="93">E157*(1+F157)</f>
        <v>5.375</v>
      </c>
      <c r="H157" s="16" t="s">
        <v>10</v>
      </c>
      <c r="I157" s="62">
        <v>0.32</v>
      </c>
      <c r="J157" s="80">
        <f t="shared" ref="J157:J160" si="94">I157*G157</f>
        <v>1.72</v>
      </c>
      <c r="K157" s="23">
        <v>47.5</v>
      </c>
      <c r="L157" s="23">
        <f t="shared" ref="L157:L160" si="95">K157*J157</f>
        <v>81.7</v>
      </c>
      <c r="M157" s="23">
        <v>14.8</v>
      </c>
      <c r="N157" s="23">
        <f t="shared" ref="N157:N160" si="96">M157*G157</f>
        <v>79.55</v>
      </c>
      <c r="O157" s="23">
        <f t="shared" ref="O157:O160" si="97">L157+N157</f>
        <v>161.25</v>
      </c>
      <c r="P157" s="46"/>
    </row>
    <row r="158" spans="1:16" x14ac:dyDescent="0.25">
      <c r="A158" s="45">
        <f>IF(G158&lt;&gt;"",1+MAX($A$13:A157),"")</f>
        <v>87</v>
      </c>
      <c r="B158" s="16" t="s">
        <v>303</v>
      </c>
      <c r="C158" s="16" t="s">
        <v>49</v>
      </c>
      <c r="D158" s="59" t="s">
        <v>251</v>
      </c>
      <c r="E158" s="31">
        <f>E156*2</f>
        <v>32.68</v>
      </c>
      <c r="F158" s="39">
        <f>VLOOKUP(H158,'PROJECT SUMMARY'!$C$26:$D$32,2,0)</f>
        <v>0.05</v>
      </c>
      <c r="G158" s="31">
        <f t="shared" si="93"/>
        <v>34.314</v>
      </c>
      <c r="H158" s="16" t="s">
        <v>11</v>
      </c>
      <c r="I158" s="62">
        <v>0.04</v>
      </c>
      <c r="J158" s="80">
        <f t="shared" si="94"/>
        <v>1.37256</v>
      </c>
      <c r="K158" s="23">
        <v>47.5</v>
      </c>
      <c r="L158" s="23">
        <f t="shared" si="95"/>
        <v>65.196600000000004</v>
      </c>
      <c r="M158" s="23">
        <v>1.85</v>
      </c>
      <c r="N158" s="23">
        <f t="shared" si="96"/>
        <v>63.480900000000005</v>
      </c>
      <c r="O158" s="23">
        <f t="shared" si="97"/>
        <v>128.67750000000001</v>
      </c>
      <c r="P158" s="46"/>
    </row>
    <row r="159" spans="1:16" x14ac:dyDescent="0.25">
      <c r="A159" s="45">
        <f>IF(G159&lt;&gt;"",1+MAX($A$13:A158),"")</f>
        <v>88</v>
      </c>
      <c r="B159" s="16" t="s">
        <v>303</v>
      </c>
      <c r="C159" s="16" t="s">
        <v>49</v>
      </c>
      <c r="D159" s="59" t="s">
        <v>252</v>
      </c>
      <c r="E159" s="31">
        <f>E156</f>
        <v>16.34</v>
      </c>
      <c r="F159" s="39">
        <f>VLOOKUP(H159,'PROJECT SUMMARY'!$C$26:$D$32,2,0)</f>
        <v>0.05</v>
      </c>
      <c r="G159" s="31">
        <f t="shared" si="93"/>
        <v>17.157</v>
      </c>
      <c r="H159" s="16" t="s">
        <v>11</v>
      </c>
      <c r="I159" s="62">
        <v>0.04</v>
      </c>
      <c r="J159" s="80">
        <f t="shared" si="94"/>
        <v>0.68628</v>
      </c>
      <c r="K159" s="23">
        <v>47.5</v>
      </c>
      <c r="L159" s="23">
        <f t="shared" si="95"/>
        <v>32.598300000000002</v>
      </c>
      <c r="M159" s="23">
        <v>1.85</v>
      </c>
      <c r="N159" s="23">
        <f t="shared" si="96"/>
        <v>31.740450000000003</v>
      </c>
      <c r="O159" s="23">
        <f t="shared" si="97"/>
        <v>64.338750000000005</v>
      </c>
      <c r="P159" s="46"/>
    </row>
    <row r="160" spans="1:16" x14ac:dyDescent="0.25">
      <c r="A160" s="45">
        <f>IF(G160&lt;&gt;"",1+MAX($A$13:A159),"")</f>
        <v>89</v>
      </c>
      <c r="B160" s="16" t="s">
        <v>303</v>
      </c>
      <c r="C160" s="16" t="s">
        <v>49</v>
      </c>
      <c r="D160" s="59" t="s">
        <v>68</v>
      </c>
      <c r="E160" s="31">
        <f>E156*4</f>
        <v>65.36</v>
      </c>
      <c r="F160" s="39">
        <f>VLOOKUP(H160,'PROJECT SUMMARY'!$C$26:$D$32,2,0)</f>
        <v>0.05</v>
      </c>
      <c r="G160" s="31">
        <f t="shared" si="93"/>
        <v>68.628</v>
      </c>
      <c r="H160" s="16" t="s">
        <v>11</v>
      </c>
      <c r="I160" s="62">
        <v>7.0000000000000001E-3</v>
      </c>
      <c r="J160" s="80">
        <f t="shared" si="94"/>
        <v>0.48039599999999999</v>
      </c>
      <c r="K160" s="23">
        <v>47.5</v>
      </c>
      <c r="L160" s="23">
        <f t="shared" si="95"/>
        <v>22.818809999999999</v>
      </c>
      <c r="M160" s="23">
        <v>0.15</v>
      </c>
      <c r="N160" s="23">
        <f t="shared" si="96"/>
        <v>10.2942</v>
      </c>
      <c r="O160" s="23">
        <f t="shared" si="97"/>
        <v>33.113010000000003</v>
      </c>
      <c r="P160" s="46"/>
    </row>
    <row r="161" spans="1:16" x14ac:dyDescent="0.25">
      <c r="A161" s="45" t="str">
        <f>IF(G161&lt;&gt;"",1+MAX($A$13:A160),"")</f>
        <v/>
      </c>
      <c r="J161" s="80"/>
      <c r="P161" s="46"/>
    </row>
    <row r="162" spans="1:16" x14ac:dyDescent="0.25">
      <c r="A162" s="45" t="str">
        <f>IF(G162&lt;&gt;"",1+MAX($A$13:A161),"")</f>
        <v/>
      </c>
      <c r="D162" s="58" t="s">
        <v>281</v>
      </c>
      <c r="E162" s="79">
        <v>38.200000000000003</v>
      </c>
      <c r="H162" s="16" t="s">
        <v>11</v>
      </c>
      <c r="J162" s="80"/>
      <c r="P162" s="46"/>
    </row>
    <row r="163" spans="1:16" x14ac:dyDescent="0.25">
      <c r="A163" s="45">
        <f>IF(G163&lt;&gt;"",1+MAX($A$13:A162),"")</f>
        <v>90</v>
      </c>
      <c r="B163" s="16" t="s">
        <v>303</v>
      </c>
      <c r="C163" s="16" t="s">
        <v>49</v>
      </c>
      <c r="D163" s="59" t="s">
        <v>283</v>
      </c>
      <c r="E163" s="31">
        <f>E162*16/32</f>
        <v>19.100000000000001</v>
      </c>
      <c r="F163" s="39">
        <f>VLOOKUP(H163,'PROJECT SUMMARY'!$C$26:$D$32,2,0)</f>
        <v>0</v>
      </c>
      <c r="G163" s="31">
        <f t="shared" ref="G163:G168" si="98">E163*(1+F163)</f>
        <v>19.100000000000001</v>
      </c>
      <c r="H163" s="16" t="s">
        <v>10</v>
      </c>
      <c r="I163" s="62">
        <v>0.35</v>
      </c>
      <c r="J163" s="80">
        <f t="shared" ref="J163" si="99">I163*G163</f>
        <v>6.6850000000000005</v>
      </c>
      <c r="K163" s="23">
        <v>47.5</v>
      </c>
      <c r="L163" s="23">
        <f t="shared" ref="L163" si="100">K163*J163</f>
        <v>317.53750000000002</v>
      </c>
      <c r="M163" s="23">
        <v>9.6</v>
      </c>
      <c r="N163" s="23">
        <f t="shared" ref="N163" si="101">M163*G163</f>
        <v>183.36</v>
      </c>
      <c r="O163" s="23">
        <f t="shared" ref="O163" si="102">L163+N163</f>
        <v>500.89750000000004</v>
      </c>
      <c r="P163" s="46"/>
    </row>
    <row r="164" spans="1:16" x14ac:dyDescent="0.25">
      <c r="A164" s="45">
        <f>IF(G164&lt;&gt;"",1+MAX($A$13:A163),"")</f>
        <v>91</v>
      </c>
      <c r="B164" s="16" t="s">
        <v>303</v>
      </c>
      <c r="C164" s="16" t="s">
        <v>49</v>
      </c>
      <c r="D164" s="59" t="s">
        <v>257</v>
      </c>
      <c r="E164" s="31">
        <f>E162/1.33</f>
        <v>28.721804511278197</v>
      </c>
      <c r="F164" s="39">
        <f>VLOOKUP(H164,'PROJECT SUMMARY'!$C$26:$D$32,2,0)</f>
        <v>0</v>
      </c>
      <c r="G164" s="31">
        <f t="shared" si="98"/>
        <v>28.721804511278197</v>
      </c>
      <c r="H164" s="16" t="s">
        <v>10</v>
      </c>
      <c r="I164" s="62">
        <v>0.64</v>
      </c>
      <c r="J164" s="80">
        <f t="shared" ref="J164:J168" si="103">I164*G164</f>
        <v>18.381954887218047</v>
      </c>
      <c r="K164" s="23">
        <v>47.5</v>
      </c>
      <c r="L164" s="23">
        <f t="shared" ref="L164:L168" si="104">K164*J164</f>
        <v>873.14285714285722</v>
      </c>
      <c r="M164" s="23">
        <v>29.6</v>
      </c>
      <c r="N164" s="23">
        <f t="shared" ref="N164:N168" si="105">M164*G164</f>
        <v>850.16541353383468</v>
      </c>
      <c r="O164" s="23">
        <f t="shared" ref="O164:O168" si="106">L164+N164</f>
        <v>1723.3082706766918</v>
      </c>
      <c r="P164" s="46"/>
    </row>
    <row r="165" spans="1:16" x14ac:dyDescent="0.25">
      <c r="A165" s="45">
        <f>IF(G165&lt;&gt;"",1+MAX($A$13:A164),"")</f>
        <v>92</v>
      </c>
      <c r="B165" s="16" t="s">
        <v>303</v>
      </c>
      <c r="C165" s="16" t="s">
        <v>49</v>
      </c>
      <c r="D165" s="59" t="s">
        <v>251</v>
      </c>
      <c r="E165" s="31">
        <f>E162*2</f>
        <v>76.400000000000006</v>
      </c>
      <c r="F165" s="39">
        <f>VLOOKUP(H165,'PROJECT SUMMARY'!$C$26:$D$32,2,0)</f>
        <v>0.05</v>
      </c>
      <c r="G165" s="31">
        <f t="shared" si="98"/>
        <v>80.220000000000013</v>
      </c>
      <c r="H165" s="16" t="s">
        <v>11</v>
      </c>
      <c r="I165" s="62">
        <v>0.04</v>
      </c>
      <c r="J165" s="80">
        <f t="shared" si="103"/>
        <v>3.2088000000000005</v>
      </c>
      <c r="K165" s="23">
        <v>47.5</v>
      </c>
      <c r="L165" s="23">
        <f t="shared" si="104"/>
        <v>152.41800000000003</v>
      </c>
      <c r="M165" s="23">
        <v>1.85</v>
      </c>
      <c r="N165" s="23">
        <f t="shared" si="105"/>
        <v>148.40700000000004</v>
      </c>
      <c r="O165" s="23">
        <f t="shared" si="106"/>
        <v>300.82500000000005</v>
      </c>
      <c r="P165" s="46"/>
    </row>
    <row r="166" spans="1:16" x14ac:dyDescent="0.25">
      <c r="A166" s="45">
        <f>IF(G166&lt;&gt;"",1+MAX($A$13:A165),"")</f>
        <v>93</v>
      </c>
      <c r="B166" s="16" t="s">
        <v>303</v>
      </c>
      <c r="C166" s="16" t="s">
        <v>49</v>
      </c>
      <c r="D166" s="59" t="s">
        <v>252</v>
      </c>
      <c r="E166" s="31">
        <f>E162</f>
        <v>38.200000000000003</v>
      </c>
      <c r="F166" s="39">
        <f>VLOOKUP(H166,'PROJECT SUMMARY'!$C$26:$D$32,2,0)</f>
        <v>0.05</v>
      </c>
      <c r="G166" s="31">
        <f t="shared" si="98"/>
        <v>40.110000000000007</v>
      </c>
      <c r="H166" s="16" t="s">
        <v>11</v>
      </c>
      <c r="I166" s="62">
        <v>0.04</v>
      </c>
      <c r="J166" s="80">
        <f t="shared" si="103"/>
        <v>1.6044000000000003</v>
      </c>
      <c r="K166" s="23">
        <v>47.5</v>
      </c>
      <c r="L166" s="23">
        <f t="shared" si="104"/>
        <v>76.209000000000017</v>
      </c>
      <c r="M166" s="23">
        <v>1.85</v>
      </c>
      <c r="N166" s="23">
        <f t="shared" si="105"/>
        <v>74.20350000000002</v>
      </c>
      <c r="O166" s="23">
        <f t="shared" si="106"/>
        <v>150.41250000000002</v>
      </c>
      <c r="P166" s="46"/>
    </row>
    <row r="167" spans="1:16" x14ac:dyDescent="0.25">
      <c r="A167" s="45">
        <f>IF(G167&lt;&gt;"",1+MAX($A$13:A166),"")</f>
        <v>94</v>
      </c>
      <c r="B167" s="16" t="s">
        <v>303</v>
      </c>
      <c r="C167" s="16" t="s">
        <v>49</v>
      </c>
      <c r="D167" s="59" t="s">
        <v>253</v>
      </c>
      <c r="E167" s="31">
        <f>E162*16</f>
        <v>611.20000000000005</v>
      </c>
      <c r="F167" s="39">
        <f>VLOOKUP(H167,'PROJECT SUMMARY'!$C$26:$D$32,2,0)</f>
        <v>0.05</v>
      </c>
      <c r="G167" s="31">
        <f t="shared" si="98"/>
        <v>641.7600000000001</v>
      </c>
      <c r="H167" s="16" t="s">
        <v>12</v>
      </c>
      <c r="I167" s="62">
        <v>1.4999999999999999E-2</v>
      </c>
      <c r="J167" s="80">
        <f t="shared" si="103"/>
        <v>9.6264000000000021</v>
      </c>
      <c r="K167" s="23">
        <v>47.5</v>
      </c>
      <c r="L167" s="23">
        <f t="shared" si="104"/>
        <v>457.25400000000008</v>
      </c>
      <c r="M167" s="23">
        <v>1.1000000000000001</v>
      </c>
      <c r="N167" s="23">
        <f t="shared" si="105"/>
        <v>705.93600000000015</v>
      </c>
      <c r="O167" s="23">
        <f t="shared" si="106"/>
        <v>1163.1900000000003</v>
      </c>
      <c r="P167" s="46"/>
    </row>
    <row r="168" spans="1:16" x14ac:dyDescent="0.25">
      <c r="A168" s="45">
        <f>IF(G168&lt;&gt;"",1+MAX($A$13:A167),"")</f>
        <v>95</v>
      </c>
      <c r="B168" s="16" t="s">
        <v>303</v>
      </c>
      <c r="C168" s="16" t="s">
        <v>49</v>
      </c>
      <c r="D168" s="59" t="s">
        <v>68</v>
      </c>
      <c r="E168" s="31">
        <f>E162*4</f>
        <v>152.80000000000001</v>
      </c>
      <c r="F168" s="39">
        <f>VLOOKUP(H168,'PROJECT SUMMARY'!$C$26:$D$32,2,0)</f>
        <v>0.05</v>
      </c>
      <c r="G168" s="31">
        <f t="shared" si="98"/>
        <v>160.44000000000003</v>
      </c>
      <c r="H168" s="16" t="s">
        <v>11</v>
      </c>
      <c r="I168" s="62">
        <v>7.0000000000000001E-3</v>
      </c>
      <c r="J168" s="80">
        <f t="shared" si="103"/>
        <v>1.1230800000000003</v>
      </c>
      <c r="K168" s="23">
        <v>47.5</v>
      </c>
      <c r="L168" s="23">
        <f t="shared" si="104"/>
        <v>53.346300000000014</v>
      </c>
      <c r="M168" s="23">
        <v>0.15</v>
      </c>
      <c r="N168" s="23">
        <f t="shared" si="105"/>
        <v>24.066000000000003</v>
      </c>
      <c r="O168" s="23">
        <f t="shared" si="106"/>
        <v>77.412300000000016</v>
      </c>
      <c r="P168" s="46"/>
    </row>
    <row r="169" spans="1:16" x14ac:dyDescent="0.25">
      <c r="A169" s="45" t="str">
        <f>IF(G169&lt;&gt;"",1+MAX($A$13:A168),"")</f>
        <v/>
      </c>
      <c r="J169" s="80"/>
      <c r="P169" s="46"/>
    </row>
    <row r="170" spans="1:16" x14ac:dyDescent="0.25">
      <c r="A170" s="45" t="str">
        <f>IF(G170&lt;&gt;"",1+MAX($A$13:A169),"")</f>
        <v/>
      </c>
      <c r="D170" s="58" t="s">
        <v>282</v>
      </c>
      <c r="E170" s="79">
        <v>5.52</v>
      </c>
      <c r="H170" s="16" t="s">
        <v>11</v>
      </c>
      <c r="J170" s="80"/>
      <c r="P170" s="46"/>
    </row>
    <row r="171" spans="1:16" x14ac:dyDescent="0.25">
      <c r="A171" s="45">
        <f>IF(G171&lt;&gt;"",1+MAX($A$13:A170),"")</f>
        <v>96</v>
      </c>
      <c r="B171" s="16" t="s">
        <v>303</v>
      </c>
      <c r="C171" s="16" t="s">
        <v>49</v>
      </c>
      <c r="D171" s="59" t="s">
        <v>284</v>
      </c>
      <c r="E171" s="31">
        <f>E170*10.083/32</f>
        <v>1.7393174999999998</v>
      </c>
      <c r="F171" s="39">
        <f>VLOOKUP(H171,'PROJECT SUMMARY'!$C$26:$D$32,2,0)</f>
        <v>0</v>
      </c>
      <c r="G171" s="31">
        <f t="shared" ref="G171:G177" si="107">E171*(1+F171)</f>
        <v>1.7393174999999998</v>
      </c>
      <c r="H171" s="16" t="s">
        <v>10</v>
      </c>
      <c r="I171" s="62">
        <v>0.35</v>
      </c>
      <c r="J171" s="71">
        <f t="shared" ref="J171" si="108">I171*G171</f>
        <v>0.6087611249999999</v>
      </c>
      <c r="K171" s="23">
        <v>47.5</v>
      </c>
      <c r="L171" s="23">
        <f t="shared" ref="L171" si="109">K171*J171</f>
        <v>28.916153437499997</v>
      </c>
      <c r="M171" s="23">
        <v>12.16</v>
      </c>
      <c r="N171" s="23">
        <f t="shared" ref="N171" si="110">M171*G171</f>
        <v>21.150100799999997</v>
      </c>
      <c r="O171" s="23">
        <f t="shared" ref="O171" si="111">L171+N171</f>
        <v>50.06625423749999</v>
      </c>
      <c r="P171" s="46"/>
    </row>
    <row r="172" spans="1:16" x14ac:dyDescent="0.25">
      <c r="A172" s="45">
        <f>IF(G172&lt;&gt;"",1+MAX($A$13:A171),"")</f>
        <v>97</v>
      </c>
      <c r="B172" s="16" t="s">
        <v>303</v>
      </c>
      <c r="C172" s="16" t="s">
        <v>49</v>
      </c>
      <c r="D172" s="59" t="s">
        <v>283</v>
      </c>
      <c r="E172" s="31">
        <f>E170*10.083/32</f>
        <v>1.7393174999999998</v>
      </c>
      <c r="F172" s="39">
        <f>VLOOKUP(H172,'PROJECT SUMMARY'!$C$26:$D$32,2,0)</f>
        <v>0</v>
      </c>
      <c r="G172" s="31">
        <f t="shared" ref="G172" si="112">E172*(1+F172)</f>
        <v>1.7393174999999998</v>
      </c>
      <c r="H172" s="16" t="s">
        <v>10</v>
      </c>
      <c r="I172" s="62">
        <v>0.35</v>
      </c>
      <c r="J172" s="80">
        <f t="shared" ref="J172:J177" si="113">I172*G172</f>
        <v>0.6087611249999999</v>
      </c>
      <c r="K172" s="23">
        <v>47.5</v>
      </c>
      <c r="L172" s="23">
        <f t="shared" ref="L172:L177" si="114">K172*J172</f>
        <v>28.916153437499997</v>
      </c>
      <c r="M172" s="23">
        <v>9.6</v>
      </c>
      <c r="N172" s="23">
        <f t="shared" ref="N172:N177" si="115">M172*G172</f>
        <v>16.697447999999998</v>
      </c>
      <c r="O172" s="23">
        <f t="shared" ref="O172:O177" si="116">L172+N172</f>
        <v>45.613601437499995</v>
      </c>
      <c r="P172" s="46"/>
    </row>
    <row r="173" spans="1:16" x14ac:dyDescent="0.25">
      <c r="A173" s="45">
        <f>IF(G173&lt;&gt;"",1+MAX($A$13:A172),"")</f>
        <v>98</v>
      </c>
      <c r="B173" s="16" t="s">
        <v>303</v>
      </c>
      <c r="C173" s="16" t="s">
        <v>49</v>
      </c>
      <c r="D173" s="59" t="s">
        <v>250</v>
      </c>
      <c r="E173" s="31">
        <f>E170/1.33</f>
        <v>4.1503759398496234</v>
      </c>
      <c r="F173" s="39">
        <f>VLOOKUP(H173,'PROJECT SUMMARY'!$C$26:$D$32,2,0)</f>
        <v>0</v>
      </c>
      <c r="G173" s="31">
        <f t="shared" si="107"/>
        <v>4.1503759398496234</v>
      </c>
      <c r="H173" s="16" t="s">
        <v>10</v>
      </c>
      <c r="I173" s="62">
        <v>0.4</v>
      </c>
      <c r="J173" s="80">
        <f t="shared" si="113"/>
        <v>1.6601503759398495</v>
      </c>
      <c r="K173" s="23">
        <v>47.5</v>
      </c>
      <c r="L173" s="23">
        <f t="shared" si="114"/>
        <v>78.857142857142847</v>
      </c>
      <c r="M173" s="23">
        <v>18.5</v>
      </c>
      <c r="N173" s="23">
        <f t="shared" si="115"/>
        <v>76.781954887218035</v>
      </c>
      <c r="O173" s="23">
        <f t="shared" si="116"/>
        <v>155.63909774436087</v>
      </c>
      <c r="P173" s="46"/>
    </row>
    <row r="174" spans="1:16" x14ac:dyDescent="0.25">
      <c r="A174" s="45">
        <f>IF(G174&lt;&gt;"",1+MAX($A$13:A173),"")</f>
        <v>99</v>
      </c>
      <c r="B174" s="16" t="s">
        <v>303</v>
      </c>
      <c r="C174" s="16" t="s">
        <v>49</v>
      </c>
      <c r="D174" s="59" t="s">
        <v>251</v>
      </c>
      <c r="E174" s="31">
        <f>E170*2</f>
        <v>11.04</v>
      </c>
      <c r="F174" s="39">
        <f>VLOOKUP(H174,'PROJECT SUMMARY'!$C$26:$D$32,2,0)</f>
        <v>0.05</v>
      </c>
      <c r="G174" s="31">
        <f t="shared" si="107"/>
        <v>11.591999999999999</v>
      </c>
      <c r="H174" s="16" t="s">
        <v>11</v>
      </c>
      <c r="I174" s="62">
        <v>0.04</v>
      </c>
      <c r="J174" s="80">
        <f t="shared" si="113"/>
        <v>0.46367999999999998</v>
      </c>
      <c r="K174" s="23">
        <v>47.5</v>
      </c>
      <c r="L174" s="23">
        <f t="shared" si="114"/>
        <v>22.024799999999999</v>
      </c>
      <c r="M174" s="23">
        <v>1.85</v>
      </c>
      <c r="N174" s="23">
        <f t="shared" si="115"/>
        <v>21.4452</v>
      </c>
      <c r="O174" s="23">
        <f t="shared" si="116"/>
        <v>43.47</v>
      </c>
      <c r="P174" s="46"/>
    </row>
    <row r="175" spans="1:16" x14ac:dyDescent="0.25">
      <c r="A175" s="45">
        <f>IF(G175&lt;&gt;"",1+MAX($A$13:A174),"")</f>
        <v>100</v>
      </c>
      <c r="B175" s="16" t="s">
        <v>303</v>
      </c>
      <c r="C175" s="16" t="s">
        <v>49</v>
      </c>
      <c r="D175" s="59" t="s">
        <v>252</v>
      </c>
      <c r="E175" s="31">
        <f>E170</f>
        <v>5.52</v>
      </c>
      <c r="F175" s="39">
        <f>VLOOKUP(H175,'PROJECT SUMMARY'!$C$26:$D$32,2,0)</f>
        <v>0.05</v>
      </c>
      <c r="G175" s="31">
        <f t="shared" si="107"/>
        <v>5.7959999999999994</v>
      </c>
      <c r="H175" s="16" t="s">
        <v>11</v>
      </c>
      <c r="I175" s="62">
        <v>0.04</v>
      </c>
      <c r="J175" s="80">
        <f t="shared" si="113"/>
        <v>0.23183999999999999</v>
      </c>
      <c r="K175" s="23">
        <v>47.5</v>
      </c>
      <c r="L175" s="23">
        <f t="shared" si="114"/>
        <v>11.0124</v>
      </c>
      <c r="M175" s="23">
        <v>1.85</v>
      </c>
      <c r="N175" s="23">
        <f t="shared" si="115"/>
        <v>10.7226</v>
      </c>
      <c r="O175" s="23">
        <f t="shared" si="116"/>
        <v>21.734999999999999</v>
      </c>
      <c r="P175" s="46"/>
    </row>
    <row r="176" spans="1:16" x14ac:dyDescent="0.25">
      <c r="A176" s="45">
        <f>IF(G176&lt;&gt;"",1+MAX($A$13:A175),"")</f>
        <v>101</v>
      </c>
      <c r="B176" s="16" t="s">
        <v>303</v>
      </c>
      <c r="C176" s="16" t="s">
        <v>49</v>
      </c>
      <c r="D176" s="59" t="s">
        <v>253</v>
      </c>
      <c r="E176" s="31">
        <f>E170*10.083</f>
        <v>55.658159999999995</v>
      </c>
      <c r="F176" s="39">
        <f>VLOOKUP(H176,'PROJECT SUMMARY'!$C$26:$D$32,2,0)</f>
        <v>0.05</v>
      </c>
      <c r="G176" s="31">
        <f t="shared" si="107"/>
        <v>58.441067999999994</v>
      </c>
      <c r="H176" s="16" t="s">
        <v>12</v>
      </c>
      <c r="I176" s="62">
        <v>1.4999999999999999E-2</v>
      </c>
      <c r="J176" s="80">
        <f t="shared" si="113"/>
        <v>0.87661601999999983</v>
      </c>
      <c r="K176" s="23">
        <v>47.5</v>
      </c>
      <c r="L176" s="23">
        <f t="shared" si="114"/>
        <v>41.639260949999993</v>
      </c>
      <c r="M176" s="23">
        <v>1.1000000000000001</v>
      </c>
      <c r="N176" s="23">
        <f t="shared" si="115"/>
        <v>64.285174799999993</v>
      </c>
      <c r="O176" s="23">
        <f t="shared" si="116"/>
        <v>105.92443574999999</v>
      </c>
      <c r="P176" s="46"/>
    </row>
    <row r="177" spans="1:16" x14ac:dyDescent="0.25">
      <c r="A177" s="45">
        <f>IF(G177&lt;&gt;"",1+MAX($A$13:A176),"")</f>
        <v>102</v>
      </c>
      <c r="B177" s="16" t="s">
        <v>303</v>
      </c>
      <c r="C177" s="16" t="s">
        <v>49</v>
      </c>
      <c r="D177" s="59" t="s">
        <v>68</v>
      </c>
      <c r="E177" s="31">
        <f>E170*4</f>
        <v>22.08</v>
      </c>
      <c r="F177" s="39">
        <f>VLOOKUP(H177,'PROJECT SUMMARY'!$C$26:$D$32,2,0)</f>
        <v>0.05</v>
      </c>
      <c r="G177" s="31">
        <f t="shared" si="107"/>
        <v>23.183999999999997</v>
      </c>
      <c r="H177" s="16" t="s">
        <v>11</v>
      </c>
      <c r="I177" s="62">
        <v>7.0000000000000001E-3</v>
      </c>
      <c r="J177" s="80">
        <f t="shared" si="113"/>
        <v>0.16228799999999999</v>
      </c>
      <c r="K177" s="23">
        <v>47.5</v>
      </c>
      <c r="L177" s="23">
        <f t="shared" si="114"/>
        <v>7.7086799999999993</v>
      </c>
      <c r="M177" s="23">
        <v>0.15</v>
      </c>
      <c r="N177" s="23">
        <f t="shared" si="115"/>
        <v>3.4775999999999994</v>
      </c>
      <c r="O177" s="23">
        <f t="shared" si="116"/>
        <v>11.186279999999998</v>
      </c>
      <c r="P177" s="46"/>
    </row>
    <row r="178" spans="1:16" x14ac:dyDescent="0.25">
      <c r="A178" s="45" t="str">
        <f>IF(G178&lt;&gt;"",1+MAX($A$13:A177),"")</f>
        <v/>
      </c>
      <c r="J178" s="80"/>
      <c r="P178" s="46"/>
    </row>
    <row r="179" spans="1:16" x14ac:dyDescent="0.25">
      <c r="A179" s="45" t="str">
        <f>IF(G179&lt;&gt;"",1+MAX($A$13:A178),"")</f>
        <v/>
      </c>
      <c r="D179" s="58" t="s">
        <v>285</v>
      </c>
      <c r="E179" s="79">
        <v>18.809999999999999</v>
      </c>
      <c r="H179" s="16" t="s">
        <v>11</v>
      </c>
      <c r="J179" s="80"/>
      <c r="P179" s="46"/>
    </row>
    <row r="180" spans="1:16" x14ac:dyDescent="0.25">
      <c r="A180" s="45">
        <f>IF(G180&lt;&gt;"",1+MAX($A$13:A179),"")</f>
        <v>103</v>
      </c>
      <c r="B180" s="16" t="s">
        <v>303</v>
      </c>
      <c r="C180" s="16" t="s">
        <v>49</v>
      </c>
      <c r="D180" s="59" t="s">
        <v>249</v>
      </c>
      <c r="E180" s="31">
        <f>E179*2*16/32</f>
        <v>18.809999999999999</v>
      </c>
      <c r="F180" s="39">
        <f>VLOOKUP(H180,'PROJECT SUMMARY'!$C$26:$D$32,2,0)</f>
        <v>0</v>
      </c>
      <c r="G180" s="31">
        <f t="shared" ref="G180:G185" si="117">E180*(1+F180)</f>
        <v>18.809999999999999</v>
      </c>
      <c r="H180" s="16" t="s">
        <v>10</v>
      </c>
      <c r="I180" s="62">
        <v>0.35</v>
      </c>
      <c r="J180" s="80">
        <f t="shared" ref="J180:J185" si="118">I180*G180</f>
        <v>6.583499999999999</v>
      </c>
      <c r="K180" s="23">
        <v>47.5</v>
      </c>
      <c r="L180" s="23">
        <f t="shared" ref="L180:L185" si="119">K180*J180</f>
        <v>312.71624999999995</v>
      </c>
      <c r="M180" s="23">
        <v>9.6</v>
      </c>
      <c r="N180" s="23">
        <f t="shared" ref="N180:N185" si="120">M180*G180</f>
        <v>180.57599999999999</v>
      </c>
      <c r="O180" s="23">
        <f t="shared" ref="O180:O185" si="121">L180+N180</f>
        <v>493.29224999999997</v>
      </c>
      <c r="P180" s="46"/>
    </row>
    <row r="181" spans="1:16" x14ac:dyDescent="0.25">
      <c r="A181" s="45">
        <f>IF(G181&lt;&gt;"",1+MAX($A$13:A180),"")</f>
        <v>104</v>
      </c>
      <c r="B181" s="16" t="s">
        <v>303</v>
      </c>
      <c r="C181" s="16" t="s">
        <v>49</v>
      </c>
      <c r="D181" s="59" t="s">
        <v>257</v>
      </c>
      <c r="E181" s="31">
        <f>E179/1.33</f>
        <v>14.142857142857141</v>
      </c>
      <c r="F181" s="39">
        <f>VLOOKUP(H181,'PROJECT SUMMARY'!$C$26:$D$32,2,0)</f>
        <v>0</v>
      </c>
      <c r="G181" s="31">
        <f t="shared" si="117"/>
        <v>14.142857142857141</v>
      </c>
      <c r="H181" s="16" t="s">
        <v>10</v>
      </c>
      <c r="I181" s="62">
        <v>0.64</v>
      </c>
      <c r="J181" s="80">
        <f t="shared" si="118"/>
        <v>9.0514285714285698</v>
      </c>
      <c r="K181" s="23">
        <v>47.5</v>
      </c>
      <c r="L181" s="23">
        <f t="shared" si="119"/>
        <v>429.94285714285706</v>
      </c>
      <c r="M181" s="23">
        <v>29.6</v>
      </c>
      <c r="N181" s="23">
        <f t="shared" si="120"/>
        <v>418.62857142857138</v>
      </c>
      <c r="O181" s="23">
        <f t="shared" si="121"/>
        <v>848.57142857142844</v>
      </c>
      <c r="P181" s="46"/>
    </row>
    <row r="182" spans="1:16" x14ac:dyDescent="0.25">
      <c r="A182" s="45">
        <f>IF(G182&lt;&gt;"",1+MAX($A$13:A181),"")</f>
        <v>105</v>
      </c>
      <c r="B182" s="16" t="s">
        <v>303</v>
      </c>
      <c r="C182" s="16" t="s">
        <v>49</v>
      </c>
      <c r="D182" s="59" t="s">
        <v>251</v>
      </c>
      <c r="E182" s="31">
        <f>E179*2</f>
        <v>37.619999999999997</v>
      </c>
      <c r="F182" s="39">
        <f>VLOOKUP(H182,'PROJECT SUMMARY'!$C$26:$D$32,2,0)</f>
        <v>0</v>
      </c>
      <c r="G182" s="31">
        <f t="shared" si="117"/>
        <v>37.619999999999997</v>
      </c>
      <c r="H182" s="16" t="s">
        <v>10</v>
      </c>
      <c r="I182" s="62">
        <v>0.04</v>
      </c>
      <c r="J182" s="80">
        <f t="shared" si="118"/>
        <v>1.5047999999999999</v>
      </c>
      <c r="K182" s="23">
        <v>47.5</v>
      </c>
      <c r="L182" s="23">
        <f t="shared" si="119"/>
        <v>71.477999999999994</v>
      </c>
      <c r="M182" s="23">
        <v>1.85</v>
      </c>
      <c r="N182" s="23">
        <f t="shared" si="120"/>
        <v>69.596999999999994</v>
      </c>
      <c r="O182" s="23">
        <f t="shared" si="121"/>
        <v>141.07499999999999</v>
      </c>
      <c r="P182" s="46"/>
    </row>
    <row r="183" spans="1:16" x14ac:dyDescent="0.25">
      <c r="A183" s="45">
        <f>IF(G183&lt;&gt;"",1+MAX($A$13:A182),"")</f>
        <v>106</v>
      </c>
      <c r="B183" s="16" t="s">
        <v>303</v>
      </c>
      <c r="C183" s="16" t="s">
        <v>49</v>
      </c>
      <c r="D183" s="59" t="s">
        <v>252</v>
      </c>
      <c r="E183" s="31">
        <f>E179</f>
        <v>18.809999999999999</v>
      </c>
      <c r="F183" s="39">
        <f>VLOOKUP(H183,'PROJECT SUMMARY'!$C$26:$D$32,2,0)</f>
        <v>0.05</v>
      </c>
      <c r="G183" s="31">
        <f t="shared" si="117"/>
        <v>19.750499999999999</v>
      </c>
      <c r="H183" s="16" t="s">
        <v>11</v>
      </c>
      <c r="I183" s="62">
        <v>0.04</v>
      </c>
      <c r="J183" s="80">
        <f t="shared" si="118"/>
        <v>0.79001999999999994</v>
      </c>
      <c r="K183" s="23">
        <v>47.5</v>
      </c>
      <c r="L183" s="23">
        <f t="shared" si="119"/>
        <v>37.525949999999995</v>
      </c>
      <c r="M183" s="23">
        <v>1.85</v>
      </c>
      <c r="N183" s="23">
        <f t="shared" si="120"/>
        <v>36.538424999999997</v>
      </c>
      <c r="O183" s="23">
        <f t="shared" si="121"/>
        <v>74.064374999999984</v>
      </c>
      <c r="P183" s="46"/>
    </row>
    <row r="184" spans="1:16" x14ac:dyDescent="0.25">
      <c r="A184" s="45">
        <f>IF(G184&lt;&gt;"",1+MAX($A$13:A183),"")</f>
        <v>107</v>
      </c>
      <c r="B184" s="16" t="s">
        <v>303</v>
      </c>
      <c r="C184" s="16" t="s">
        <v>49</v>
      </c>
      <c r="D184" s="59" t="s">
        <v>253</v>
      </c>
      <c r="E184" s="31">
        <f>E179*16</f>
        <v>300.95999999999998</v>
      </c>
      <c r="F184" s="39">
        <f>VLOOKUP(H184,'PROJECT SUMMARY'!$C$26:$D$32,2,0)</f>
        <v>0.05</v>
      </c>
      <c r="G184" s="31">
        <f t="shared" si="117"/>
        <v>316.00799999999998</v>
      </c>
      <c r="H184" s="16" t="s">
        <v>11</v>
      </c>
      <c r="I184" s="62">
        <v>1.4999999999999999E-2</v>
      </c>
      <c r="J184" s="80">
        <f t="shared" si="118"/>
        <v>4.7401199999999992</v>
      </c>
      <c r="K184" s="23">
        <v>47.5</v>
      </c>
      <c r="L184" s="23">
        <f t="shared" si="119"/>
        <v>225.15569999999997</v>
      </c>
      <c r="M184" s="23">
        <v>1.1000000000000001</v>
      </c>
      <c r="N184" s="23">
        <f t="shared" si="120"/>
        <v>347.60880000000003</v>
      </c>
      <c r="O184" s="23">
        <f t="shared" si="121"/>
        <v>572.7645</v>
      </c>
      <c r="P184" s="46"/>
    </row>
    <row r="185" spans="1:16" x14ac:dyDescent="0.25">
      <c r="A185" s="45">
        <f>IF(G185&lt;&gt;"",1+MAX($A$13:A184),"")</f>
        <v>108</v>
      </c>
      <c r="B185" s="16" t="s">
        <v>303</v>
      </c>
      <c r="C185" s="16" t="s">
        <v>49</v>
      </c>
      <c r="D185" s="59" t="s">
        <v>68</v>
      </c>
      <c r="E185" s="31">
        <f>E179*4</f>
        <v>75.239999999999995</v>
      </c>
      <c r="F185" s="39">
        <f>VLOOKUP(H185,'PROJECT SUMMARY'!$C$26:$D$32,2,0)</f>
        <v>0.05</v>
      </c>
      <c r="G185" s="31">
        <f t="shared" si="117"/>
        <v>79.001999999999995</v>
      </c>
      <c r="H185" s="16" t="s">
        <v>12</v>
      </c>
      <c r="I185" s="62">
        <v>7.0000000000000001E-3</v>
      </c>
      <c r="J185" s="80">
        <f t="shared" si="118"/>
        <v>0.55301400000000001</v>
      </c>
      <c r="K185" s="23">
        <v>47.5</v>
      </c>
      <c r="L185" s="23">
        <f t="shared" si="119"/>
        <v>26.268165</v>
      </c>
      <c r="M185" s="23">
        <v>0.15</v>
      </c>
      <c r="N185" s="23">
        <f t="shared" si="120"/>
        <v>11.850299999999999</v>
      </c>
      <c r="O185" s="23">
        <f t="shared" si="121"/>
        <v>38.118465</v>
      </c>
      <c r="P185" s="46"/>
    </row>
    <row r="186" spans="1:16" x14ac:dyDescent="0.25">
      <c r="A186" s="45" t="str">
        <f>IF(G186&lt;&gt;"",1+MAX($A$13:A185),"")</f>
        <v/>
      </c>
      <c r="J186" s="80"/>
      <c r="P186" s="46"/>
    </row>
    <row r="187" spans="1:16" x14ac:dyDescent="0.25">
      <c r="A187" s="45" t="str">
        <f>IF(G187&lt;&gt;"",1+MAX($A$13:A186),"")</f>
        <v/>
      </c>
      <c r="D187" s="58" t="s">
        <v>286</v>
      </c>
      <c r="E187" s="79">
        <v>27.02</v>
      </c>
      <c r="H187" s="16" t="s">
        <v>11</v>
      </c>
      <c r="J187" s="80"/>
      <c r="P187" s="46"/>
    </row>
    <row r="188" spans="1:16" x14ac:dyDescent="0.25">
      <c r="A188" s="45">
        <f>IF(G188&lt;&gt;"",1+MAX($A$13:A187),"")</f>
        <v>109</v>
      </c>
      <c r="B188" s="16" t="s">
        <v>303</v>
      </c>
      <c r="C188" s="16" t="s">
        <v>49</v>
      </c>
      <c r="D188" s="59" t="s">
        <v>284</v>
      </c>
      <c r="E188" s="31">
        <f>E187*10.083/32</f>
        <v>8.5138331249999997</v>
      </c>
      <c r="F188" s="39">
        <f>VLOOKUP(H188,'PROJECT SUMMARY'!$C$26:$D$32,2,0)</f>
        <v>0</v>
      </c>
      <c r="G188" s="31">
        <f t="shared" ref="G188:G193" si="122">E188*(1+F188)</f>
        <v>8.5138331249999997</v>
      </c>
      <c r="H188" s="16" t="s">
        <v>10</v>
      </c>
      <c r="I188" s="62">
        <v>0.35</v>
      </c>
      <c r="J188" s="71">
        <f t="shared" ref="J188:J193" si="123">I188*G188</f>
        <v>2.9798415937499998</v>
      </c>
      <c r="K188" s="23">
        <v>47.5</v>
      </c>
      <c r="L188" s="23">
        <f t="shared" ref="L188:L193" si="124">K188*J188</f>
        <v>141.54247570312498</v>
      </c>
      <c r="M188" s="23">
        <v>12.16</v>
      </c>
      <c r="N188" s="23">
        <f t="shared" ref="N188:N193" si="125">M188*G188</f>
        <v>103.5282108</v>
      </c>
      <c r="O188" s="23">
        <f t="shared" ref="O188:O193" si="126">L188+N188</f>
        <v>245.07068650312499</v>
      </c>
      <c r="P188" s="46"/>
    </row>
    <row r="189" spans="1:16" x14ac:dyDescent="0.25">
      <c r="A189" s="45">
        <f>IF(G189&lt;&gt;"",1+MAX($A$13:A188),"")</f>
        <v>110</v>
      </c>
      <c r="B189" s="16" t="s">
        <v>303</v>
      </c>
      <c r="C189" s="16" t="s">
        <v>49</v>
      </c>
      <c r="D189" s="59" t="s">
        <v>250</v>
      </c>
      <c r="E189" s="31">
        <f>E187/1.33</f>
        <v>20.315789473684209</v>
      </c>
      <c r="F189" s="39">
        <f>VLOOKUP(H189,'PROJECT SUMMARY'!$C$26:$D$32,2,0)</f>
        <v>0</v>
      </c>
      <c r="G189" s="31">
        <f t="shared" si="122"/>
        <v>20.315789473684209</v>
      </c>
      <c r="H189" s="16" t="s">
        <v>10</v>
      </c>
      <c r="I189" s="62">
        <v>0.4</v>
      </c>
      <c r="J189" s="80">
        <f t="shared" si="123"/>
        <v>8.1263157894736846</v>
      </c>
      <c r="K189" s="23">
        <v>47.5</v>
      </c>
      <c r="L189" s="23">
        <f t="shared" si="124"/>
        <v>386</v>
      </c>
      <c r="M189" s="23">
        <v>18.5</v>
      </c>
      <c r="N189" s="23">
        <f t="shared" si="125"/>
        <v>375.84210526315786</v>
      </c>
      <c r="O189" s="23">
        <f t="shared" si="126"/>
        <v>761.84210526315792</v>
      </c>
      <c r="P189" s="46"/>
    </row>
    <row r="190" spans="1:16" x14ac:dyDescent="0.25">
      <c r="A190" s="45">
        <f>IF(G190&lt;&gt;"",1+MAX($A$13:A189),"")</f>
        <v>111</v>
      </c>
      <c r="B190" s="16" t="s">
        <v>303</v>
      </c>
      <c r="C190" s="16" t="s">
        <v>49</v>
      </c>
      <c r="D190" s="59" t="s">
        <v>251</v>
      </c>
      <c r="E190" s="31">
        <f>E187*2</f>
        <v>54.04</v>
      </c>
      <c r="F190" s="39">
        <f>VLOOKUP(H190,'PROJECT SUMMARY'!$C$26:$D$32,2,0)</f>
        <v>0.05</v>
      </c>
      <c r="G190" s="31">
        <f t="shared" si="122"/>
        <v>56.742000000000004</v>
      </c>
      <c r="H190" s="16" t="s">
        <v>11</v>
      </c>
      <c r="I190" s="62">
        <v>0.04</v>
      </c>
      <c r="J190" s="80">
        <f t="shared" si="123"/>
        <v>2.2696800000000001</v>
      </c>
      <c r="K190" s="23">
        <v>47.5</v>
      </c>
      <c r="L190" s="23">
        <f t="shared" si="124"/>
        <v>107.80980000000001</v>
      </c>
      <c r="M190" s="23">
        <v>1.85</v>
      </c>
      <c r="N190" s="23">
        <f t="shared" si="125"/>
        <v>104.97270000000002</v>
      </c>
      <c r="O190" s="23">
        <f t="shared" si="126"/>
        <v>212.78250000000003</v>
      </c>
      <c r="P190" s="46"/>
    </row>
    <row r="191" spans="1:16" x14ac:dyDescent="0.25">
      <c r="A191" s="45">
        <f>IF(G191&lt;&gt;"",1+MAX($A$13:A190),"")</f>
        <v>112</v>
      </c>
      <c r="B191" s="16" t="s">
        <v>303</v>
      </c>
      <c r="C191" s="16" t="s">
        <v>49</v>
      </c>
      <c r="D191" s="59" t="s">
        <v>252</v>
      </c>
      <c r="E191" s="31">
        <f>E187</f>
        <v>27.02</v>
      </c>
      <c r="F191" s="39">
        <f>VLOOKUP(H191,'PROJECT SUMMARY'!$C$26:$D$32,2,0)</f>
        <v>0.05</v>
      </c>
      <c r="G191" s="31">
        <f t="shared" si="122"/>
        <v>28.371000000000002</v>
      </c>
      <c r="H191" s="16" t="s">
        <v>11</v>
      </c>
      <c r="I191" s="62">
        <v>0.04</v>
      </c>
      <c r="J191" s="80">
        <f t="shared" si="123"/>
        <v>1.1348400000000001</v>
      </c>
      <c r="K191" s="23">
        <v>47.5</v>
      </c>
      <c r="L191" s="23">
        <f t="shared" si="124"/>
        <v>53.904900000000005</v>
      </c>
      <c r="M191" s="23">
        <v>1.85</v>
      </c>
      <c r="N191" s="23">
        <f t="shared" si="125"/>
        <v>52.486350000000009</v>
      </c>
      <c r="O191" s="23">
        <f t="shared" si="126"/>
        <v>106.39125000000001</v>
      </c>
      <c r="P191" s="46"/>
    </row>
    <row r="192" spans="1:16" x14ac:dyDescent="0.25">
      <c r="A192" s="45">
        <f>IF(G192&lt;&gt;"",1+MAX($A$13:A191),"")</f>
        <v>113</v>
      </c>
      <c r="B192" s="16" t="s">
        <v>303</v>
      </c>
      <c r="C192" s="16" t="s">
        <v>49</v>
      </c>
      <c r="D192" s="59" t="s">
        <v>253</v>
      </c>
      <c r="E192" s="31">
        <f>E187*10.083</f>
        <v>272.44265999999999</v>
      </c>
      <c r="F192" s="39">
        <f>VLOOKUP(H192,'PROJECT SUMMARY'!$C$26:$D$32,2,0)</f>
        <v>0.05</v>
      </c>
      <c r="G192" s="31">
        <f t="shared" si="122"/>
        <v>286.06479300000001</v>
      </c>
      <c r="H192" s="16" t="s">
        <v>12</v>
      </c>
      <c r="I192" s="62">
        <v>1.4999999999999999E-2</v>
      </c>
      <c r="J192" s="80">
        <f t="shared" si="123"/>
        <v>4.2909718950000002</v>
      </c>
      <c r="K192" s="23">
        <v>47.5</v>
      </c>
      <c r="L192" s="23">
        <f t="shared" si="124"/>
        <v>203.82116501250002</v>
      </c>
      <c r="M192" s="23">
        <v>1.1000000000000001</v>
      </c>
      <c r="N192" s="23">
        <f t="shared" si="125"/>
        <v>314.67127230000006</v>
      </c>
      <c r="O192" s="23">
        <f t="shared" si="126"/>
        <v>518.4924373125001</v>
      </c>
      <c r="P192" s="46"/>
    </row>
    <row r="193" spans="1:16" x14ac:dyDescent="0.25">
      <c r="A193" s="45">
        <f>IF(G193&lt;&gt;"",1+MAX($A$13:A192),"")</f>
        <v>114</v>
      </c>
      <c r="B193" s="16" t="s">
        <v>303</v>
      </c>
      <c r="C193" s="16" t="s">
        <v>49</v>
      </c>
      <c r="D193" s="59" t="s">
        <v>68</v>
      </c>
      <c r="E193" s="31">
        <f>E187*4</f>
        <v>108.08</v>
      </c>
      <c r="F193" s="39">
        <f>VLOOKUP(H193,'PROJECT SUMMARY'!$C$26:$D$32,2,0)</f>
        <v>0.05</v>
      </c>
      <c r="G193" s="31">
        <f t="shared" si="122"/>
        <v>113.48400000000001</v>
      </c>
      <c r="H193" s="16" t="s">
        <v>11</v>
      </c>
      <c r="I193" s="62">
        <v>7.0000000000000001E-3</v>
      </c>
      <c r="J193" s="80">
        <f t="shared" si="123"/>
        <v>0.79438800000000009</v>
      </c>
      <c r="K193" s="23">
        <v>47.5</v>
      </c>
      <c r="L193" s="23">
        <f t="shared" si="124"/>
        <v>37.733430000000006</v>
      </c>
      <c r="M193" s="23">
        <v>0.15</v>
      </c>
      <c r="N193" s="23">
        <f t="shared" si="125"/>
        <v>17.022600000000001</v>
      </c>
      <c r="O193" s="23">
        <f t="shared" si="126"/>
        <v>54.75603000000001</v>
      </c>
      <c r="P193" s="46"/>
    </row>
    <row r="194" spans="1:16" x14ac:dyDescent="0.25">
      <c r="A194" s="45" t="str">
        <f>IF(G194&lt;&gt;"",1+MAX($A$13:A193),"")</f>
        <v/>
      </c>
      <c r="J194" s="80"/>
      <c r="P194" s="46"/>
    </row>
    <row r="195" spans="1:16" x14ac:dyDescent="0.25">
      <c r="A195" s="45" t="str">
        <f>IF(G195&lt;&gt;"",1+MAX($A$13:A194),"")</f>
        <v/>
      </c>
      <c r="D195" s="58" t="s">
        <v>287</v>
      </c>
      <c r="E195" s="79">
        <v>69.55</v>
      </c>
      <c r="H195" s="16" t="s">
        <v>11</v>
      </c>
      <c r="J195" s="80"/>
      <c r="P195" s="46"/>
    </row>
    <row r="196" spans="1:16" x14ac:dyDescent="0.25">
      <c r="A196" s="45">
        <f>IF(G196&lt;&gt;"",1+MAX($A$13:A195),"")</f>
        <v>115</v>
      </c>
      <c r="B196" s="16" t="s">
        <v>303</v>
      </c>
      <c r="C196" s="16" t="s">
        <v>49</v>
      </c>
      <c r="D196" s="59" t="s">
        <v>288</v>
      </c>
      <c r="E196" s="31">
        <f>E195*10.583/32</f>
        <v>23.001489062499999</v>
      </c>
      <c r="F196" s="39">
        <f>VLOOKUP(H196,'PROJECT SUMMARY'!$C$26:$D$32,2,0)</f>
        <v>0</v>
      </c>
      <c r="G196" s="31">
        <f t="shared" ref="G196:G201" si="127">E196*(1+F196)</f>
        <v>23.001489062499999</v>
      </c>
      <c r="H196" s="16" t="s">
        <v>10</v>
      </c>
      <c r="I196" s="62">
        <v>0.35</v>
      </c>
      <c r="J196" s="80">
        <f t="shared" ref="J196" si="128">I196*G196</f>
        <v>8.0505211718749994</v>
      </c>
      <c r="K196" s="23">
        <v>47.5</v>
      </c>
      <c r="L196" s="23">
        <f t="shared" ref="L196" si="129">K196*J196</f>
        <v>382.39975566406247</v>
      </c>
      <c r="M196" s="23">
        <v>9.6</v>
      </c>
      <c r="N196" s="23">
        <f t="shared" ref="N196" si="130">M196*G196</f>
        <v>220.81429499999999</v>
      </c>
      <c r="O196" s="23">
        <f t="shared" ref="O196" si="131">L196+N196</f>
        <v>603.21405066406248</v>
      </c>
      <c r="P196" s="46"/>
    </row>
    <row r="197" spans="1:16" x14ac:dyDescent="0.25">
      <c r="A197" s="45">
        <f>IF(G197&lt;&gt;"",1+MAX($A$13:A196),"")</f>
        <v>116</v>
      </c>
      <c r="B197" s="16" t="s">
        <v>303</v>
      </c>
      <c r="C197" s="16" t="s">
        <v>49</v>
      </c>
      <c r="D197" s="59" t="s">
        <v>289</v>
      </c>
      <c r="E197" s="31">
        <f>E195/1.33</f>
        <v>52.293233082706763</v>
      </c>
      <c r="F197" s="39">
        <f>VLOOKUP(H197,'PROJECT SUMMARY'!$C$26:$D$32,2,0)</f>
        <v>0</v>
      </c>
      <c r="G197" s="31">
        <f t="shared" si="127"/>
        <v>52.293233082706763</v>
      </c>
      <c r="H197" s="16" t="s">
        <v>10</v>
      </c>
      <c r="I197" s="62">
        <v>0.48</v>
      </c>
      <c r="J197" s="80">
        <f t="shared" ref="J197:J201" si="132">I197*G197</f>
        <v>25.100751879699246</v>
      </c>
      <c r="K197" s="23">
        <v>47.5</v>
      </c>
      <c r="L197" s="23">
        <f t="shared" ref="L197:L201" si="133">K197*J197</f>
        <v>1192.2857142857142</v>
      </c>
      <c r="M197" s="23">
        <v>22.200000000000003</v>
      </c>
      <c r="N197" s="23">
        <f t="shared" ref="N197:N201" si="134">M197*G197</f>
        <v>1160.9097744360904</v>
      </c>
      <c r="O197" s="23">
        <f t="shared" ref="O197:O201" si="135">L197+N197</f>
        <v>2353.1954887218044</v>
      </c>
      <c r="P197" s="46"/>
    </row>
    <row r="198" spans="1:16" x14ac:dyDescent="0.25">
      <c r="A198" s="45">
        <f>IF(G198&lt;&gt;"",1+MAX($A$13:A197),"")</f>
        <v>117</v>
      </c>
      <c r="B198" s="16" t="s">
        <v>303</v>
      </c>
      <c r="C198" s="16" t="s">
        <v>49</v>
      </c>
      <c r="D198" s="59" t="s">
        <v>251</v>
      </c>
      <c r="E198" s="31">
        <f>E195*2</f>
        <v>139.1</v>
      </c>
      <c r="F198" s="39">
        <f>VLOOKUP(H198,'PROJECT SUMMARY'!$C$26:$D$32,2,0)</f>
        <v>0.05</v>
      </c>
      <c r="G198" s="31">
        <f t="shared" si="127"/>
        <v>146.05500000000001</v>
      </c>
      <c r="H198" s="16" t="s">
        <v>11</v>
      </c>
      <c r="I198" s="62">
        <v>0.04</v>
      </c>
      <c r="J198" s="80">
        <f t="shared" si="132"/>
        <v>5.8422000000000001</v>
      </c>
      <c r="K198" s="23">
        <v>47.5</v>
      </c>
      <c r="L198" s="23">
        <f t="shared" si="133"/>
        <v>277.50450000000001</v>
      </c>
      <c r="M198" s="23">
        <v>1.85</v>
      </c>
      <c r="N198" s="23">
        <f t="shared" si="134"/>
        <v>270.20175</v>
      </c>
      <c r="O198" s="23">
        <f t="shared" si="135"/>
        <v>547.70624999999995</v>
      </c>
      <c r="P198" s="46"/>
    </row>
    <row r="199" spans="1:16" x14ac:dyDescent="0.25">
      <c r="A199" s="45">
        <f>IF(G199&lt;&gt;"",1+MAX($A$13:A198),"")</f>
        <v>118</v>
      </c>
      <c r="B199" s="16" t="s">
        <v>303</v>
      </c>
      <c r="C199" s="16" t="s">
        <v>49</v>
      </c>
      <c r="D199" s="59" t="s">
        <v>252</v>
      </c>
      <c r="E199" s="31">
        <f>E195</f>
        <v>69.55</v>
      </c>
      <c r="F199" s="39">
        <f>VLOOKUP(H199,'PROJECT SUMMARY'!$C$26:$D$32,2,0)</f>
        <v>0.05</v>
      </c>
      <c r="G199" s="31">
        <f t="shared" si="127"/>
        <v>73.027500000000003</v>
      </c>
      <c r="H199" s="16" t="s">
        <v>11</v>
      </c>
      <c r="I199" s="62">
        <v>0.04</v>
      </c>
      <c r="J199" s="80">
        <f t="shared" si="132"/>
        <v>2.9211</v>
      </c>
      <c r="K199" s="23">
        <v>47.5</v>
      </c>
      <c r="L199" s="23">
        <f t="shared" si="133"/>
        <v>138.75225</v>
      </c>
      <c r="M199" s="23">
        <v>1.85</v>
      </c>
      <c r="N199" s="23">
        <f t="shared" si="134"/>
        <v>135.100875</v>
      </c>
      <c r="O199" s="23">
        <f t="shared" si="135"/>
        <v>273.85312499999998</v>
      </c>
      <c r="P199" s="46"/>
    </row>
    <row r="200" spans="1:16" x14ac:dyDescent="0.25">
      <c r="A200" s="45">
        <f>IF(G200&lt;&gt;"",1+MAX($A$13:A199),"")</f>
        <v>119</v>
      </c>
      <c r="B200" s="16" t="s">
        <v>303</v>
      </c>
      <c r="C200" s="16" t="s">
        <v>49</v>
      </c>
      <c r="D200" s="59" t="s">
        <v>253</v>
      </c>
      <c r="E200" s="31">
        <f>E195*10.083</f>
        <v>701.27265</v>
      </c>
      <c r="F200" s="39">
        <f>VLOOKUP(H200,'PROJECT SUMMARY'!$C$26:$D$32,2,0)</f>
        <v>0.05</v>
      </c>
      <c r="G200" s="31">
        <f t="shared" si="127"/>
        <v>736.33628250000004</v>
      </c>
      <c r="H200" s="16" t="s">
        <v>12</v>
      </c>
      <c r="I200" s="62">
        <v>1.4999999999999999E-2</v>
      </c>
      <c r="J200" s="80">
        <f t="shared" si="132"/>
        <v>11.045044237500001</v>
      </c>
      <c r="K200" s="23">
        <v>47.5</v>
      </c>
      <c r="L200" s="23">
        <f t="shared" si="133"/>
        <v>524.63960128125007</v>
      </c>
      <c r="M200" s="23">
        <v>1.1000000000000001</v>
      </c>
      <c r="N200" s="23">
        <f t="shared" si="134"/>
        <v>809.96991075000005</v>
      </c>
      <c r="O200" s="23">
        <f t="shared" si="135"/>
        <v>1334.6095120312502</v>
      </c>
      <c r="P200" s="46"/>
    </row>
    <row r="201" spans="1:16" x14ac:dyDescent="0.25">
      <c r="A201" s="45">
        <f>IF(G201&lt;&gt;"",1+MAX($A$13:A200),"")</f>
        <v>120</v>
      </c>
      <c r="B201" s="16" t="s">
        <v>303</v>
      </c>
      <c r="C201" s="16" t="s">
        <v>49</v>
      </c>
      <c r="D201" s="59" t="s">
        <v>68</v>
      </c>
      <c r="E201" s="31">
        <f>E195*4</f>
        <v>278.2</v>
      </c>
      <c r="F201" s="39">
        <f>VLOOKUP(H201,'PROJECT SUMMARY'!$C$26:$D$32,2,0)</f>
        <v>0.05</v>
      </c>
      <c r="G201" s="31">
        <f t="shared" si="127"/>
        <v>292.11</v>
      </c>
      <c r="H201" s="16" t="s">
        <v>11</v>
      </c>
      <c r="I201" s="62">
        <v>7.0000000000000001E-3</v>
      </c>
      <c r="J201" s="80">
        <f t="shared" si="132"/>
        <v>2.0447700000000002</v>
      </c>
      <c r="K201" s="23">
        <v>47.5</v>
      </c>
      <c r="L201" s="23">
        <f t="shared" si="133"/>
        <v>97.126575000000003</v>
      </c>
      <c r="M201" s="23">
        <v>0.15</v>
      </c>
      <c r="N201" s="23">
        <f t="shared" si="134"/>
        <v>43.816499999999998</v>
      </c>
      <c r="O201" s="23">
        <f t="shared" si="135"/>
        <v>140.94307499999999</v>
      </c>
      <c r="P201" s="46"/>
    </row>
    <row r="202" spans="1:16" x14ac:dyDescent="0.25">
      <c r="A202" s="45" t="str">
        <f>IF(G202&lt;&gt;"",1+MAX($A$13:A201),"")</f>
        <v/>
      </c>
      <c r="J202" s="80"/>
      <c r="P202" s="46"/>
    </row>
    <row r="203" spans="1:16" x14ac:dyDescent="0.25">
      <c r="A203" s="45" t="str">
        <f>IF(G203&lt;&gt;"",1+MAX($A$13:A202),"")</f>
        <v/>
      </c>
      <c r="D203" s="58" t="s">
        <v>292</v>
      </c>
      <c r="E203" s="79">
        <v>20.75</v>
      </c>
      <c r="H203" s="16" t="s">
        <v>11</v>
      </c>
      <c r="J203" s="80"/>
      <c r="P203" s="46"/>
    </row>
    <row r="204" spans="1:16" x14ac:dyDescent="0.25">
      <c r="A204" s="45">
        <f>IF(G204&lt;&gt;"",1+MAX($A$13:A203),"")</f>
        <v>121</v>
      </c>
      <c r="B204" s="16" t="s">
        <v>303</v>
      </c>
      <c r="C204" s="16" t="s">
        <v>49</v>
      </c>
      <c r="D204" s="59" t="s">
        <v>288</v>
      </c>
      <c r="E204" s="31">
        <f>E203*2*10.583/32</f>
        <v>13.724828125</v>
      </c>
      <c r="F204" s="39">
        <f>VLOOKUP(H204,'PROJECT SUMMARY'!$C$26:$D$32,2,0)</f>
        <v>0</v>
      </c>
      <c r="G204" s="31">
        <f t="shared" ref="G204:G209" si="136">E204*(1+F204)</f>
        <v>13.724828125</v>
      </c>
      <c r="H204" s="16" t="s">
        <v>10</v>
      </c>
      <c r="I204" s="62">
        <v>0.35</v>
      </c>
      <c r="J204" s="80">
        <f t="shared" ref="J204:J208" si="137">I204*G204</f>
        <v>4.80368984375</v>
      </c>
      <c r="K204" s="23">
        <v>47.5</v>
      </c>
      <c r="L204" s="23">
        <f t="shared" ref="L204:L208" si="138">K204*J204</f>
        <v>228.17526757812499</v>
      </c>
      <c r="M204" s="23">
        <v>9.6</v>
      </c>
      <c r="N204" s="23">
        <f t="shared" ref="N204:N208" si="139">M204*G204</f>
        <v>131.75835000000001</v>
      </c>
      <c r="O204" s="23">
        <f t="shared" ref="O204:O208" si="140">L204+N204</f>
        <v>359.93361757812499</v>
      </c>
      <c r="P204" s="46"/>
    </row>
    <row r="205" spans="1:16" x14ac:dyDescent="0.25">
      <c r="A205" s="45">
        <f>IF(G205&lt;&gt;"",1+MAX($A$13:A204),"")</f>
        <v>122</v>
      </c>
      <c r="B205" s="16" t="s">
        <v>303</v>
      </c>
      <c r="C205" s="16" t="s">
        <v>49</v>
      </c>
      <c r="D205" s="59" t="s">
        <v>289</v>
      </c>
      <c r="E205" s="31">
        <f>E203/1.33</f>
        <v>15.601503759398495</v>
      </c>
      <c r="F205" s="39">
        <f>VLOOKUP(H205,'PROJECT SUMMARY'!$C$26:$D$32,2,0)</f>
        <v>0</v>
      </c>
      <c r="G205" s="31">
        <f t="shared" si="136"/>
        <v>15.601503759398495</v>
      </c>
      <c r="H205" s="16" t="s">
        <v>10</v>
      </c>
      <c r="I205" s="62">
        <v>0.48</v>
      </c>
      <c r="J205" s="80">
        <f t="shared" si="137"/>
        <v>7.4887218045112771</v>
      </c>
      <c r="K205" s="23">
        <v>47.5</v>
      </c>
      <c r="L205" s="23">
        <f t="shared" si="138"/>
        <v>355.71428571428567</v>
      </c>
      <c r="M205" s="23">
        <v>22.200000000000003</v>
      </c>
      <c r="N205" s="23">
        <f t="shared" si="139"/>
        <v>346.35338345864665</v>
      </c>
      <c r="O205" s="23">
        <f t="shared" si="140"/>
        <v>702.06766917293226</v>
      </c>
      <c r="P205" s="46"/>
    </row>
    <row r="206" spans="1:16" x14ac:dyDescent="0.25">
      <c r="A206" s="45">
        <f>IF(G206&lt;&gt;"",1+MAX($A$13:A205),"")</f>
        <v>123</v>
      </c>
      <c r="B206" s="16" t="s">
        <v>303</v>
      </c>
      <c r="C206" s="16" t="s">
        <v>49</v>
      </c>
      <c r="D206" s="59" t="s">
        <v>251</v>
      </c>
      <c r="E206" s="31">
        <f>E203*2</f>
        <v>41.5</v>
      </c>
      <c r="F206" s="39">
        <f>VLOOKUP(H206,'PROJECT SUMMARY'!$C$26:$D$32,2,0)</f>
        <v>0.05</v>
      </c>
      <c r="G206" s="31">
        <f t="shared" si="136"/>
        <v>43.575000000000003</v>
      </c>
      <c r="H206" s="16" t="s">
        <v>11</v>
      </c>
      <c r="I206" s="62">
        <v>0.04</v>
      </c>
      <c r="J206" s="80">
        <f t="shared" si="137"/>
        <v>1.7430000000000001</v>
      </c>
      <c r="K206" s="23">
        <v>47.5</v>
      </c>
      <c r="L206" s="23">
        <f t="shared" si="138"/>
        <v>82.792500000000004</v>
      </c>
      <c r="M206" s="23">
        <v>1.85</v>
      </c>
      <c r="N206" s="23">
        <f t="shared" si="139"/>
        <v>80.61375000000001</v>
      </c>
      <c r="O206" s="23">
        <f t="shared" si="140"/>
        <v>163.40625</v>
      </c>
      <c r="P206" s="46"/>
    </row>
    <row r="207" spans="1:16" x14ac:dyDescent="0.25">
      <c r="A207" s="45">
        <f>IF(G207&lt;&gt;"",1+MAX($A$13:A206),"")</f>
        <v>124</v>
      </c>
      <c r="B207" s="16" t="s">
        <v>303</v>
      </c>
      <c r="C207" s="16" t="s">
        <v>49</v>
      </c>
      <c r="D207" s="59" t="s">
        <v>252</v>
      </c>
      <c r="E207" s="31">
        <f>E203</f>
        <v>20.75</v>
      </c>
      <c r="F207" s="39">
        <f>VLOOKUP(H207,'PROJECT SUMMARY'!$C$26:$D$32,2,0)</f>
        <v>0.05</v>
      </c>
      <c r="G207" s="31">
        <f t="shared" si="136"/>
        <v>21.787500000000001</v>
      </c>
      <c r="H207" s="16" t="s">
        <v>11</v>
      </c>
      <c r="I207" s="62">
        <v>0.04</v>
      </c>
      <c r="J207" s="80">
        <f t="shared" si="137"/>
        <v>0.87150000000000005</v>
      </c>
      <c r="K207" s="23">
        <v>47.5</v>
      </c>
      <c r="L207" s="23">
        <f t="shared" si="138"/>
        <v>41.396250000000002</v>
      </c>
      <c r="M207" s="23">
        <v>1.85</v>
      </c>
      <c r="N207" s="23">
        <f t="shared" si="139"/>
        <v>40.306875000000005</v>
      </c>
      <c r="O207" s="23">
        <f t="shared" si="140"/>
        <v>81.703125</v>
      </c>
      <c r="P207" s="46"/>
    </row>
    <row r="208" spans="1:16" x14ac:dyDescent="0.25">
      <c r="A208" s="45">
        <f>IF(G208&lt;&gt;"",1+MAX($A$13:A207),"")</f>
        <v>125</v>
      </c>
      <c r="B208" s="16" t="s">
        <v>303</v>
      </c>
      <c r="C208" s="16" t="s">
        <v>49</v>
      </c>
      <c r="D208" s="59" t="s">
        <v>253</v>
      </c>
      <c r="E208" s="31">
        <f>E203*10.083</f>
        <v>209.22225</v>
      </c>
      <c r="F208" s="39">
        <f>VLOOKUP(H208,'PROJECT SUMMARY'!$C$26:$D$32,2,0)</f>
        <v>0.05</v>
      </c>
      <c r="G208" s="31">
        <f t="shared" si="136"/>
        <v>219.68336250000002</v>
      </c>
      <c r="H208" s="16" t="s">
        <v>12</v>
      </c>
      <c r="I208" s="62">
        <v>1.4999999999999999E-2</v>
      </c>
      <c r="J208" s="80">
        <f t="shared" si="137"/>
        <v>3.2952504375</v>
      </c>
      <c r="K208" s="23">
        <v>47.5</v>
      </c>
      <c r="L208" s="23">
        <f t="shared" si="138"/>
        <v>156.52439578125001</v>
      </c>
      <c r="M208" s="23">
        <v>1.1000000000000001</v>
      </c>
      <c r="N208" s="23">
        <f t="shared" si="139"/>
        <v>241.65169875000004</v>
      </c>
      <c r="O208" s="23">
        <f t="shared" si="140"/>
        <v>398.17609453125004</v>
      </c>
      <c r="P208" s="46"/>
    </row>
    <row r="209" spans="1:16" x14ac:dyDescent="0.25">
      <c r="A209" s="45">
        <f>IF(G209&lt;&gt;"",1+MAX($A$13:A208),"")</f>
        <v>126</v>
      </c>
      <c r="B209" s="16" t="s">
        <v>303</v>
      </c>
      <c r="C209" s="16" t="s">
        <v>49</v>
      </c>
      <c r="D209" s="59" t="s">
        <v>68</v>
      </c>
      <c r="E209" s="31">
        <f>E203*4</f>
        <v>83</v>
      </c>
      <c r="F209" s="39">
        <f>VLOOKUP(H209,'PROJECT SUMMARY'!$C$26:$D$32,2,0)</f>
        <v>0.05</v>
      </c>
      <c r="G209" s="31">
        <f t="shared" si="136"/>
        <v>87.15</v>
      </c>
      <c r="H209" s="16" t="s">
        <v>11</v>
      </c>
      <c r="I209" s="62">
        <v>7.0000000000000001E-3</v>
      </c>
      <c r="J209" s="80">
        <f t="shared" ref="J209" si="141">I209*G209</f>
        <v>0.61005000000000009</v>
      </c>
      <c r="K209" s="23">
        <v>47.5</v>
      </c>
      <c r="L209" s="23">
        <f t="shared" ref="L209" si="142">K209*J209</f>
        <v>28.977375000000006</v>
      </c>
      <c r="M209" s="23">
        <v>0.15</v>
      </c>
      <c r="N209" s="23">
        <f t="shared" ref="N209" si="143">M209*G209</f>
        <v>13.0725</v>
      </c>
      <c r="O209" s="23">
        <f t="shared" ref="O209" si="144">L209+N209</f>
        <v>42.049875000000007</v>
      </c>
      <c r="P209" s="46"/>
    </row>
    <row r="210" spans="1:16" x14ac:dyDescent="0.25">
      <c r="A210" s="45" t="str">
        <f>IF(G210&lt;&gt;"",1+MAX($A$13:A209),"")</f>
        <v/>
      </c>
      <c r="J210" s="80"/>
      <c r="P210" s="46"/>
    </row>
    <row r="211" spans="1:16" x14ac:dyDescent="0.25">
      <c r="A211" s="45" t="str">
        <f>IF(G211&lt;&gt;"",1+MAX($A$13:A210),"")</f>
        <v/>
      </c>
      <c r="D211" s="58" t="s">
        <v>290</v>
      </c>
      <c r="E211" s="79">
        <v>37.049999999999997</v>
      </c>
      <c r="H211" s="16" t="s">
        <v>11</v>
      </c>
      <c r="J211" s="80"/>
      <c r="P211" s="46"/>
    </row>
    <row r="212" spans="1:16" x14ac:dyDescent="0.25">
      <c r="A212" s="45">
        <f>IF(G212&lt;&gt;"",1+MAX($A$13:A211),"")</f>
        <v>127</v>
      </c>
      <c r="B212" s="16" t="s">
        <v>303</v>
      </c>
      <c r="C212" s="16" t="s">
        <v>49</v>
      </c>
      <c r="D212" s="59" t="s">
        <v>291</v>
      </c>
      <c r="E212" s="31">
        <f>E211*2*10.083/32</f>
        <v>23.348446874999997</v>
      </c>
      <c r="F212" s="39">
        <f>VLOOKUP(H212,'PROJECT SUMMARY'!$C$26:$D$32,2,0)</f>
        <v>0</v>
      </c>
      <c r="G212" s="31">
        <f t="shared" ref="G212:G217" si="145">E212*(1+F212)</f>
        <v>23.348446874999997</v>
      </c>
      <c r="H212" s="16" t="s">
        <v>10</v>
      </c>
      <c r="I212" s="62">
        <v>0.35</v>
      </c>
      <c r="J212" s="80">
        <f t="shared" ref="J212:J216" si="146">I212*G212</f>
        <v>8.1719564062499988</v>
      </c>
      <c r="K212" s="23">
        <v>47.5</v>
      </c>
      <c r="L212" s="23">
        <f t="shared" ref="L212:L216" si="147">K212*J212</f>
        <v>388.16792929687495</v>
      </c>
      <c r="M212" s="23">
        <v>9.6</v>
      </c>
      <c r="N212" s="23">
        <f t="shared" ref="N212:N216" si="148">M212*G212</f>
        <v>224.14508999999995</v>
      </c>
      <c r="O212" s="23">
        <f t="shared" ref="O212:O216" si="149">L212+N212</f>
        <v>612.31301929687493</v>
      </c>
      <c r="P212" s="46"/>
    </row>
    <row r="213" spans="1:16" x14ac:dyDescent="0.25">
      <c r="A213" s="45">
        <f>IF(G213&lt;&gt;"",1+MAX($A$13:A212),"")</f>
        <v>128</v>
      </c>
      <c r="B213" s="16" t="s">
        <v>303</v>
      </c>
      <c r="C213" s="16" t="s">
        <v>49</v>
      </c>
      <c r="D213" s="59" t="s">
        <v>289</v>
      </c>
      <c r="E213" s="31">
        <f>E211/1.33</f>
        <v>27.857142857142854</v>
      </c>
      <c r="F213" s="39">
        <f>VLOOKUP(H213,'PROJECT SUMMARY'!$C$26:$D$32,2,0)</f>
        <v>0</v>
      </c>
      <c r="G213" s="31">
        <f t="shared" si="145"/>
        <v>27.857142857142854</v>
      </c>
      <c r="H213" s="16" t="s">
        <v>10</v>
      </c>
      <c r="I213" s="62">
        <v>0.48</v>
      </c>
      <c r="J213" s="80">
        <f t="shared" si="146"/>
        <v>13.37142857142857</v>
      </c>
      <c r="K213" s="23">
        <v>47.5</v>
      </c>
      <c r="L213" s="23">
        <f t="shared" si="147"/>
        <v>635.14285714285711</v>
      </c>
      <c r="M213" s="23">
        <v>22.200000000000003</v>
      </c>
      <c r="N213" s="23">
        <f t="shared" si="148"/>
        <v>618.42857142857144</v>
      </c>
      <c r="O213" s="23">
        <f t="shared" si="149"/>
        <v>1253.5714285714284</v>
      </c>
      <c r="P213" s="46"/>
    </row>
    <row r="214" spans="1:16" x14ac:dyDescent="0.25">
      <c r="A214" s="45">
        <f>IF(G214&lt;&gt;"",1+MAX($A$13:A213),"")</f>
        <v>129</v>
      </c>
      <c r="B214" s="16" t="s">
        <v>303</v>
      </c>
      <c r="C214" s="16" t="s">
        <v>49</v>
      </c>
      <c r="D214" s="59" t="s">
        <v>251</v>
      </c>
      <c r="E214" s="31">
        <f>E211*2</f>
        <v>74.099999999999994</v>
      </c>
      <c r="F214" s="39">
        <f>VLOOKUP(H214,'PROJECT SUMMARY'!$C$26:$D$32,2,0)</f>
        <v>0.05</v>
      </c>
      <c r="G214" s="31">
        <f t="shared" si="145"/>
        <v>77.804999999999993</v>
      </c>
      <c r="H214" s="16" t="s">
        <v>11</v>
      </c>
      <c r="I214" s="62">
        <v>0.04</v>
      </c>
      <c r="J214" s="80">
        <f t="shared" si="146"/>
        <v>3.1121999999999996</v>
      </c>
      <c r="K214" s="23">
        <v>47.5</v>
      </c>
      <c r="L214" s="23">
        <f t="shared" si="147"/>
        <v>147.8295</v>
      </c>
      <c r="M214" s="23">
        <v>1.85</v>
      </c>
      <c r="N214" s="23">
        <f t="shared" si="148"/>
        <v>143.93924999999999</v>
      </c>
      <c r="O214" s="23">
        <f t="shared" si="149"/>
        <v>291.76874999999995</v>
      </c>
      <c r="P214" s="46"/>
    </row>
    <row r="215" spans="1:16" x14ac:dyDescent="0.25">
      <c r="A215" s="45">
        <f>IF(G215&lt;&gt;"",1+MAX($A$13:A214),"")</f>
        <v>130</v>
      </c>
      <c r="B215" s="16" t="s">
        <v>303</v>
      </c>
      <c r="C215" s="16" t="s">
        <v>49</v>
      </c>
      <c r="D215" s="59" t="s">
        <v>252</v>
      </c>
      <c r="E215" s="31">
        <f>E211</f>
        <v>37.049999999999997</v>
      </c>
      <c r="F215" s="39">
        <f>VLOOKUP(H215,'PROJECT SUMMARY'!$C$26:$D$32,2,0)</f>
        <v>0.05</v>
      </c>
      <c r="G215" s="31">
        <f t="shared" si="145"/>
        <v>38.902499999999996</v>
      </c>
      <c r="H215" s="16" t="s">
        <v>11</v>
      </c>
      <c r="I215" s="62">
        <v>0.04</v>
      </c>
      <c r="J215" s="80">
        <f t="shared" si="146"/>
        <v>1.5560999999999998</v>
      </c>
      <c r="K215" s="23">
        <v>47.5</v>
      </c>
      <c r="L215" s="23">
        <f t="shared" si="147"/>
        <v>73.914749999999998</v>
      </c>
      <c r="M215" s="23">
        <v>1.85</v>
      </c>
      <c r="N215" s="23">
        <f t="shared" si="148"/>
        <v>71.969624999999994</v>
      </c>
      <c r="O215" s="23">
        <f t="shared" si="149"/>
        <v>145.88437499999998</v>
      </c>
      <c r="P215" s="46"/>
    </row>
    <row r="216" spans="1:16" x14ac:dyDescent="0.25">
      <c r="A216" s="45">
        <f>IF(G216&lt;&gt;"",1+MAX($A$13:A215),"")</f>
        <v>131</v>
      </c>
      <c r="B216" s="16" t="s">
        <v>303</v>
      </c>
      <c r="C216" s="16" t="s">
        <v>49</v>
      </c>
      <c r="D216" s="59" t="s">
        <v>253</v>
      </c>
      <c r="E216" s="31">
        <f>E211*10.083</f>
        <v>373.57514999999995</v>
      </c>
      <c r="F216" s="39">
        <f>VLOOKUP(H216,'PROJECT SUMMARY'!$C$26:$D$32,2,0)</f>
        <v>0.05</v>
      </c>
      <c r="G216" s="31">
        <f t="shared" si="145"/>
        <v>392.25390749999997</v>
      </c>
      <c r="H216" s="16" t="s">
        <v>12</v>
      </c>
      <c r="I216" s="62">
        <v>1.4999999999999999E-2</v>
      </c>
      <c r="J216" s="80">
        <f t="shared" si="146"/>
        <v>5.8838086124999993</v>
      </c>
      <c r="K216" s="23">
        <v>47.5</v>
      </c>
      <c r="L216" s="23">
        <f t="shared" si="147"/>
        <v>279.48090909374997</v>
      </c>
      <c r="M216" s="23">
        <v>1.1000000000000001</v>
      </c>
      <c r="N216" s="23">
        <f t="shared" si="148"/>
        <v>431.47929825</v>
      </c>
      <c r="O216" s="23">
        <f t="shared" si="149"/>
        <v>710.96020734374997</v>
      </c>
      <c r="P216" s="46"/>
    </row>
    <row r="217" spans="1:16" x14ac:dyDescent="0.25">
      <c r="A217" s="45">
        <f>IF(G217&lt;&gt;"",1+MAX($A$13:A216),"")</f>
        <v>132</v>
      </c>
      <c r="B217" s="16" t="s">
        <v>303</v>
      </c>
      <c r="C217" s="16" t="s">
        <v>49</v>
      </c>
      <c r="D217" s="59" t="s">
        <v>68</v>
      </c>
      <c r="E217" s="31">
        <f>E211*4</f>
        <v>148.19999999999999</v>
      </c>
      <c r="F217" s="39">
        <f>VLOOKUP(H217,'PROJECT SUMMARY'!$C$26:$D$32,2,0)</f>
        <v>0.05</v>
      </c>
      <c r="G217" s="31">
        <f t="shared" si="145"/>
        <v>155.60999999999999</v>
      </c>
      <c r="H217" s="16" t="s">
        <v>11</v>
      </c>
      <c r="I217" s="62">
        <v>7.0000000000000001E-3</v>
      </c>
      <c r="J217" s="80">
        <f t="shared" ref="J217" si="150">I217*G217</f>
        <v>1.08927</v>
      </c>
      <c r="K217" s="23">
        <v>47.5</v>
      </c>
      <c r="L217" s="23">
        <f t="shared" ref="L217" si="151">K217*J217</f>
        <v>51.740324999999999</v>
      </c>
      <c r="M217" s="23">
        <v>0.15</v>
      </c>
      <c r="N217" s="23">
        <f t="shared" ref="N217" si="152">M217*G217</f>
        <v>23.341499999999996</v>
      </c>
      <c r="O217" s="23">
        <f t="shared" ref="O217" si="153">L217+N217</f>
        <v>75.081824999999995</v>
      </c>
      <c r="P217" s="46"/>
    </row>
    <row r="218" spans="1:16" x14ac:dyDescent="0.25">
      <c r="A218" s="45" t="str">
        <f>IF(G218&lt;&gt;"",1+MAX($A$13:A217),"")</f>
        <v/>
      </c>
      <c r="J218" s="80"/>
      <c r="P218" s="46"/>
    </row>
    <row r="219" spans="1:16" x14ac:dyDescent="0.25">
      <c r="A219" s="45" t="str">
        <f>IF(G219&lt;&gt;"",1+MAX($A$13:A218),"")</f>
        <v/>
      </c>
      <c r="D219" s="58" t="s">
        <v>282</v>
      </c>
      <c r="E219" s="79">
        <v>26.11</v>
      </c>
      <c r="H219" s="16" t="s">
        <v>11</v>
      </c>
      <c r="J219" s="80"/>
      <c r="P219" s="46"/>
    </row>
    <row r="220" spans="1:16" x14ac:dyDescent="0.25">
      <c r="A220" s="45">
        <f>IF(G220&lt;&gt;"",1+MAX($A$13:A219),"")</f>
        <v>133</v>
      </c>
      <c r="B220" s="16" t="s">
        <v>303</v>
      </c>
      <c r="C220" s="16" t="s">
        <v>49</v>
      </c>
      <c r="D220" s="59" t="s">
        <v>284</v>
      </c>
      <c r="E220" s="31">
        <f>E219*10.083/32</f>
        <v>8.2270978125000003</v>
      </c>
      <c r="F220" s="39">
        <f>VLOOKUP(H220,'PROJECT SUMMARY'!$C$26:$D$32,2,0)</f>
        <v>0</v>
      </c>
      <c r="G220" s="31">
        <f t="shared" ref="G220:G226" si="154">E220*(1+F220)</f>
        <v>8.2270978125000003</v>
      </c>
      <c r="H220" s="16" t="s">
        <v>10</v>
      </c>
      <c r="I220" s="62">
        <v>0.35</v>
      </c>
      <c r="J220" s="71">
        <f t="shared" ref="J220" si="155">I220*G220</f>
        <v>2.879484234375</v>
      </c>
      <c r="K220" s="23">
        <v>47.5</v>
      </c>
      <c r="L220" s="23">
        <f t="shared" ref="L220" si="156">K220*J220</f>
        <v>136.77550113281251</v>
      </c>
      <c r="M220" s="23">
        <v>12.16</v>
      </c>
      <c r="N220" s="23">
        <f t="shared" ref="N220" si="157">M220*G220</f>
        <v>100.04150940000001</v>
      </c>
      <c r="O220" s="23">
        <f t="shared" ref="O220" si="158">L220+N220</f>
        <v>236.8170105328125</v>
      </c>
      <c r="P220" s="46"/>
    </row>
    <row r="221" spans="1:16" x14ac:dyDescent="0.25">
      <c r="A221" s="45">
        <f>IF(G221&lt;&gt;"",1+MAX($A$13:A220),"")</f>
        <v>134</v>
      </c>
      <c r="B221" s="16" t="s">
        <v>303</v>
      </c>
      <c r="C221" s="16" t="s">
        <v>49</v>
      </c>
      <c r="D221" s="59" t="s">
        <v>283</v>
      </c>
      <c r="E221" s="31">
        <f>E219*10.083/32</f>
        <v>8.2270978125000003</v>
      </c>
      <c r="F221" s="39">
        <f>VLOOKUP(H221,'PROJECT SUMMARY'!$C$26:$D$32,2,0)</f>
        <v>0</v>
      </c>
      <c r="G221" s="31">
        <f t="shared" ref="G221" si="159">E221*(1+F221)</f>
        <v>8.2270978125000003</v>
      </c>
      <c r="H221" s="16" t="s">
        <v>10</v>
      </c>
      <c r="I221" s="62">
        <v>0.35</v>
      </c>
      <c r="J221" s="80">
        <f t="shared" ref="J221:J226" si="160">I221*G221</f>
        <v>2.879484234375</v>
      </c>
      <c r="K221" s="23">
        <v>47.5</v>
      </c>
      <c r="L221" s="23">
        <f t="shared" ref="L221:L226" si="161">K221*J221</f>
        <v>136.77550113281251</v>
      </c>
      <c r="M221" s="23">
        <v>9.6</v>
      </c>
      <c r="N221" s="23">
        <f t="shared" ref="N221:N226" si="162">M221*G221</f>
        <v>78.980138999999994</v>
      </c>
      <c r="O221" s="23">
        <f t="shared" ref="O221:O226" si="163">L221+N221</f>
        <v>215.75564013281252</v>
      </c>
      <c r="P221" s="46"/>
    </row>
    <row r="222" spans="1:16" x14ac:dyDescent="0.25">
      <c r="A222" s="45">
        <f>IF(G222&lt;&gt;"",1+MAX($A$13:A221),"")</f>
        <v>135</v>
      </c>
      <c r="B222" s="16" t="s">
        <v>303</v>
      </c>
      <c r="C222" s="16" t="s">
        <v>49</v>
      </c>
      <c r="D222" s="59" t="s">
        <v>250</v>
      </c>
      <c r="E222" s="31">
        <f>E219/1.33</f>
        <v>19.631578947368421</v>
      </c>
      <c r="F222" s="39">
        <f>VLOOKUP(H222,'PROJECT SUMMARY'!$C$26:$D$32,2,0)</f>
        <v>0</v>
      </c>
      <c r="G222" s="31">
        <f t="shared" si="154"/>
        <v>19.631578947368421</v>
      </c>
      <c r="H222" s="16" t="s">
        <v>10</v>
      </c>
      <c r="I222" s="62">
        <v>0.4</v>
      </c>
      <c r="J222" s="80">
        <f t="shared" si="160"/>
        <v>7.8526315789473689</v>
      </c>
      <c r="K222" s="23">
        <v>47.5</v>
      </c>
      <c r="L222" s="23">
        <f t="shared" si="161"/>
        <v>373</v>
      </c>
      <c r="M222" s="23">
        <v>18.5</v>
      </c>
      <c r="N222" s="23">
        <f t="shared" si="162"/>
        <v>363.18421052631578</v>
      </c>
      <c r="O222" s="23">
        <f t="shared" si="163"/>
        <v>736.18421052631584</v>
      </c>
      <c r="P222" s="46"/>
    </row>
    <row r="223" spans="1:16" x14ac:dyDescent="0.25">
      <c r="A223" s="45">
        <f>IF(G223&lt;&gt;"",1+MAX($A$13:A222),"")</f>
        <v>136</v>
      </c>
      <c r="B223" s="16" t="s">
        <v>303</v>
      </c>
      <c r="C223" s="16" t="s">
        <v>49</v>
      </c>
      <c r="D223" s="59" t="s">
        <v>251</v>
      </c>
      <c r="E223" s="31">
        <f>E219*2</f>
        <v>52.22</v>
      </c>
      <c r="F223" s="39">
        <f>VLOOKUP(H223,'PROJECT SUMMARY'!$C$26:$D$32,2,0)</f>
        <v>0.05</v>
      </c>
      <c r="G223" s="31">
        <f t="shared" si="154"/>
        <v>54.831000000000003</v>
      </c>
      <c r="H223" s="16" t="s">
        <v>11</v>
      </c>
      <c r="I223" s="62">
        <v>0.04</v>
      </c>
      <c r="J223" s="80">
        <f t="shared" si="160"/>
        <v>2.1932400000000003</v>
      </c>
      <c r="K223" s="23">
        <v>47.5</v>
      </c>
      <c r="L223" s="23">
        <f t="shared" si="161"/>
        <v>104.17890000000001</v>
      </c>
      <c r="M223" s="23">
        <v>1.85</v>
      </c>
      <c r="N223" s="23">
        <f t="shared" si="162"/>
        <v>101.43735000000001</v>
      </c>
      <c r="O223" s="23">
        <f t="shared" si="163"/>
        <v>205.61625000000004</v>
      </c>
      <c r="P223" s="46"/>
    </row>
    <row r="224" spans="1:16" x14ac:dyDescent="0.25">
      <c r="A224" s="45">
        <f>IF(G224&lt;&gt;"",1+MAX($A$13:A223),"")</f>
        <v>137</v>
      </c>
      <c r="B224" s="16" t="s">
        <v>303</v>
      </c>
      <c r="C224" s="16" t="s">
        <v>49</v>
      </c>
      <c r="D224" s="59" t="s">
        <v>252</v>
      </c>
      <c r="E224" s="31">
        <f>E219</f>
        <v>26.11</v>
      </c>
      <c r="F224" s="39">
        <f>VLOOKUP(H224,'PROJECT SUMMARY'!$C$26:$D$32,2,0)</f>
        <v>0.05</v>
      </c>
      <c r="G224" s="31">
        <f t="shared" si="154"/>
        <v>27.415500000000002</v>
      </c>
      <c r="H224" s="16" t="s">
        <v>11</v>
      </c>
      <c r="I224" s="62">
        <v>0.04</v>
      </c>
      <c r="J224" s="80">
        <f t="shared" si="160"/>
        <v>1.0966200000000002</v>
      </c>
      <c r="K224" s="23">
        <v>47.5</v>
      </c>
      <c r="L224" s="23">
        <f t="shared" si="161"/>
        <v>52.089450000000006</v>
      </c>
      <c r="M224" s="23">
        <v>1.85</v>
      </c>
      <c r="N224" s="23">
        <f t="shared" si="162"/>
        <v>50.718675000000005</v>
      </c>
      <c r="O224" s="23">
        <f t="shared" si="163"/>
        <v>102.80812500000002</v>
      </c>
      <c r="P224" s="46"/>
    </row>
    <row r="225" spans="1:16" x14ac:dyDescent="0.25">
      <c r="A225" s="45">
        <f>IF(G225&lt;&gt;"",1+MAX($A$13:A224),"")</f>
        <v>138</v>
      </c>
      <c r="B225" s="16" t="s">
        <v>303</v>
      </c>
      <c r="C225" s="16" t="s">
        <v>49</v>
      </c>
      <c r="D225" s="59" t="s">
        <v>253</v>
      </c>
      <c r="E225" s="31">
        <f>E219*10.083</f>
        <v>263.26713000000001</v>
      </c>
      <c r="F225" s="39">
        <f>VLOOKUP(H225,'PROJECT SUMMARY'!$C$26:$D$32,2,0)</f>
        <v>0.05</v>
      </c>
      <c r="G225" s="31">
        <f t="shared" si="154"/>
        <v>276.43048650000003</v>
      </c>
      <c r="H225" s="16" t="s">
        <v>12</v>
      </c>
      <c r="I225" s="62">
        <v>1.4999999999999999E-2</v>
      </c>
      <c r="J225" s="80">
        <f t="shared" si="160"/>
        <v>4.1464572975000005</v>
      </c>
      <c r="K225" s="23">
        <v>47.5</v>
      </c>
      <c r="L225" s="23">
        <f t="shared" si="161"/>
        <v>196.95672163125002</v>
      </c>
      <c r="M225" s="23">
        <v>1.1000000000000001</v>
      </c>
      <c r="N225" s="23">
        <f t="shared" si="162"/>
        <v>304.07353515000005</v>
      </c>
      <c r="O225" s="23">
        <f t="shared" si="163"/>
        <v>501.03025678125005</v>
      </c>
      <c r="P225" s="46"/>
    </row>
    <row r="226" spans="1:16" x14ac:dyDescent="0.25">
      <c r="A226" s="45">
        <f>IF(G226&lt;&gt;"",1+MAX($A$13:A225),"")</f>
        <v>139</v>
      </c>
      <c r="B226" s="16" t="s">
        <v>303</v>
      </c>
      <c r="C226" s="16" t="s">
        <v>49</v>
      </c>
      <c r="D226" s="59" t="s">
        <v>68</v>
      </c>
      <c r="E226" s="31">
        <f>E219*4</f>
        <v>104.44</v>
      </c>
      <c r="F226" s="39">
        <f>VLOOKUP(H226,'PROJECT SUMMARY'!$C$26:$D$32,2,0)</f>
        <v>0.05</v>
      </c>
      <c r="G226" s="31">
        <f t="shared" si="154"/>
        <v>109.66200000000001</v>
      </c>
      <c r="H226" s="16" t="s">
        <v>11</v>
      </c>
      <c r="I226" s="62">
        <v>7.0000000000000001E-3</v>
      </c>
      <c r="J226" s="80">
        <f t="shared" si="160"/>
        <v>0.76763400000000004</v>
      </c>
      <c r="K226" s="23">
        <v>47.5</v>
      </c>
      <c r="L226" s="23">
        <f t="shared" si="161"/>
        <v>36.462615</v>
      </c>
      <c r="M226" s="23">
        <v>0.15</v>
      </c>
      <c r="N226" s="23">
        <f t="shared" si="162"/>
        <v>16.449300000000001</v>
      </c>
      <c r="O226" s="23">
        <f t="shared" si="163"/>
        <v>52.911915</v>
      </c>
      <c r="P226" s="46"/>
    </row>
    <row r="227" spans="1:16" x14ac:dyDescent="0.25">
      <c r="A227" s="45" t="str">
        <f>IF(G227&lt;&gt;"",1+MAX($A$13:A226),"")</f>
        <v/>
      </c>
      <c r="J227" s="80"/>
      <c r="P227" s="46"/>
    </row>
    <row r="228" spans="1:16" x14ac:dyDescent="0.25">
      <c r="A228" s="45" t="str">
        <f>IF(G228&lt;&gt;"",1+MAX($A$13:A227),"")</f>
        <v/>
      </c>
      <c r="D228" s="58" t="s">
        <v>294</v>
      </c>
      <c r="E228" s="79">
        <v>9.85</v>
      </c>
      <c r="H228" s="16" t="s">
        <v>11</v>
      </c>
      <c r="J228" s="80"/>
      <c r="P228" s="46"/>
    </row>
    <row r="229" spans="1:16" x14ac:dyDescent="0.25">
      <c r="A229" s="45">
        <f>IF(G229&lt;&gt;"",1+MAX($A$13:A228),"")</f>
        <v>140</v>
      </c>
      <c r="B229" s="16" t="s">
        <v>303</v>
      </c>
      <c r="C229" s="16" t="s">
        <v>49</v>
      </c>
      <c r="D229" s="59" t="s">
        <v>283</v>
      </c>
      <c r="E229" s="31">
        <f>E228*10.083/32</f>
        <v>3.1036734374999999</v>
      </c>
      <c r="F229" s="39">
        <f>VLOOKUP(H229,'PROJECT SUMMARY'!$C$26:$D$32,2,0)</f>
        <v>0</v>
      </c>
      <c r="G229" s="31">
        <f t="shared" ref="G229:G234" si="164">E229*(1+F229)</f>
        <v>3.1036734374999999</v>
      </c>
      <c r="H229" s="16" t="s">
        <v>10</v>
      </c>
      <c r="I229" s="62">
        <v>0.35</v>
      </c>
      <c r="J229" s="80">
        <f t="shared" ref="J229" si="165">I229*G229</f>
        <v>1.0862857031249999</v>
      </c>
      <c r="K229" s="23">
        <v>47.5</v>
      </c>
      <c r="L229" s="23">
        <f t="shared" ref="L229" si="166">K229*J229</f>
        <v>51.598570898437501</v>
      </c>
      <c r="M229" s="23">
        <v>9.6</v>
      </c>
      <c r="N229" s="23">
        <f t="shared" ref="N229" si="167">M229*G229</f>
        <v>29.795264999999997</v>
      </c>
      <c r="O229" s="23">
        <f t="shared" ref="O229" si="168">L229+N229</f>
        <v>81.393835898437501</v>
      </c>
      <c r="P229" s="46"/>
    </row>
    <row r="230" spans="1:16" x14ac:dyDescent="0.25">
      <c r="A230" s="45">
        <f>IF(G230&lt;&gt;"",1+MAX($A$13:A229),"")</f>
        <v>141</v>
      </c>
      <c r="B230" s="16" t="s">
        <v>303</v>
      </c>
      <c r="C230" s="16" t="s">
        <v>49</v>
      </c>
      <c r="D230" s="59" t="s">
        <v>254</v>
      </c>
      <c r="E230" s="31">
        <f>E228/1.33</f>
        <v>7.4060150375939839</v>
      </c>
      <c r="F230" s="39">
        <f>VLOOKUP(H230,'PROJECT SUMMARY'!$C$26:$D$32,2,0)</f>
        <v>0</v>
      </c>
      <c r="G230" s="31">
        <f t="shared" si="164"/>
        <v>7.4060150375939839</v>
      </c>
      <c r="H230" s="16" t="s">
        <v>10</v>
      </c>
      <c r="I230" s="62">
        <v>0.35000000000000003</v>
      </c>
      <c r="J230" s="80">
        <f t="shared" ref="J230:J234" si="169">I230*G230</f>
        <v>2.5921052631578947</v>
      </c>
      <c r="K230" s="23">
        <v>47.5</v>
      </c>
      <c r="L230" s="23">
        <f t="shared" ref="L230:L234" si="170">K230*J230</f>
        <v>123.125</v>
      </c>
      <c r="M230" s="23">
        <v>15.5</v>
      </c>
      <c r="N230" s="23">
        <f t="shared" ref="N230:N234" si="171">M230*G230</f>
        <v>114.79323308270675</v>
      </c>
      <c r="O230" s="23">
        <f t="shared" ref="O230:O234" si="172">L230+N230</f>
        <v>237.91823308270676</v>
      </c>
      <c r="P230" s="46"/>
    </row>
    <row r="231" spans="1:16" x14ac:dyDescent="0.25">
      <c r="A231" s="45">
        <f>IF(G231&lt;&gt;"",1+MAX($A$13:A230),"")</f>
        <v>142</v>
      </c>
      <c r="B231" s="16" t="s">
        <v>303</v>
      </c>
      <c r="C231" s="16" t="s">
        <v>49</v>
      </c>
      <c r="D231" s="59" t="s">
        <v>255</v>
      </c>
      <c r="E231" s="31">
        <f>E228*2</f>
        <v>19.7</v>
      </c>
      <c r="F231" s="39">
        <f>VLOOKUP(H231,'PROJECT SUMMARY'!$C$26:$D$32,2,0)</f>
        <v>0.05</v>
      </c>
      <c r="G231" s="31">
        <f t="shared" si="164"/>
        <v>20.684999999999999</v>
      </c>
      <c r="H231" s="16" t="s">
        <v>11</v>
      </c>
      <c r="I231" s="62">
        <v>3.5000000000000003E-2</v>
      </c>
      <c r="J231" s="80">
        <f t="shared" si="169"/>
        <v>0.72397500000000004</v>
      </c>
      <c r="K231" s="23">
        <v>47.5</v>
      </c>
      <c r="L231" s="23">
        <f t="shared" si="170"/>
        <v>34.3888125</v>
      </c>
      <c r="M231" s="23">
        <v>1.55</v>
      </c>
      <c r="N231" s="23">
        <f t="shared" si="171"/>
        <v>32.061749999999996</v>
      </c>
      <c r="O231" s="23">
        <f t="shared" si="172"/>
        <v>66.45056249999999</v>
      </c>
      <c r="P231" s="46"/>
    </row>
    <row r="232" spans="1:16" x14ac:dyDescent="0.25">
      <c r="A232" s="45">
        <f>IF(G232&lt;&gt;"",1+MAX($A$13:A231),"")</f>
        <v>143</v>
      </c>
      <c r="B232" s="16" t="s">
        <v>303</v>
      </c>
      <c r="C232" s="16" t="s">
        <v>49</v>
      </c>
      <c r="D232" s="59" t="s">
        <v>256</v>
      </c>
      <c r="E232" s="31">
        <f>E228</f>
        <v>9.85</v>
      </c>
      <c r="F232" s="39">
        <f>VLOOKUP(H232,'PROJECT SUMMARY'!$C$26:$D$32,2,0)</f>
        <v>0.05</v>
      </c>
      <c r="G232" s="31">
        <f t="shared" si="164"/>
        <v>10.342499999999999</v>
      </c>
      <c r="H232" s="16" t="s">
        <v>11</v>
      </c>
      <c r="I232" s="62">
        <v>3.5000000000000003E-2</v>
      </c>
      <c r="J232" s="80">
        <f t="shared" si="169"/>
        <v>0.36198750000000002</v>
      </c>
      <c r="K232" s="23">
        <v>47.5</v>
      </c>
      <c r="L232" s="23">
        <f t="shared" si="170"/>
        <v>17.19440625</v>
      </c>
      <c r="M232" s="23">
        <v>1.55</v>
      </c>
      <c r="N232" s="23">
        <f t="shared" si="171"/>
        <v>16.030874999999998</v>
      </c>
      <c r="O232" s="23">
        <f t="shared" si="172"/>
        <v>33.225281249999995</v>
      </c>
      <c r="P232" s="46"/>
    </row>
    <row r="233" spans="1:16" x14ac:dyDescent="0.25">
      <c r="A233" s="45">
        <f>IF(G233&lt;&gt;"",1+MAX($A$13:A232),"")</f>
        <v>144</v>
      </c>
      <c r="B233" s="16" t="s">
        <v>303</v>
      </c>
      <c r="C233" s="16" t="s">
        <v>49</v>
      </c>
      <c r="D233" s="59" t="s">
        <v>253</v>
      </c>
      <c r="E233" s="31">
        <f>E228*10.083</f>
        <v>99.317549999999997</v>
      </c>
      <c r="F233" s="39">
        <f>VLOOKUP(H233,'PROJECT SUMMARY'!$C$26:$D$32,2,0)</f>
        <v>0.05</v>
      </c>
      <c r="G233" s="31">
        <f t="shared" si="164"/>
        <v>104.2834275</v>
      </c>
      <c r="H233" s="16" t="s">
        <v>12</v>
      </c>
      <c r="I233" s="62">
        <v>1.4999999999999999E-2</v>
      </c>
      <c r="J233" s="80">
        <f t="shared" si="169"/>
        <v>1.5642514125</v>
      </c>
      <c r="K233" s="23">
        <v>47.5</v>
      </c>
      <c r="L233" s="23">
        <f t="shared" si="170"/>
        <v>74.30194209375</v>
      </c>
      <c r="M233" s="23">
        <v>1.1000000000000001</v>
      </c>
      <c r="N233" s="23">
        <f t="shared" si="171"/>
        <v>114.71177025000001</v>
      </c>
      <c r="O233" s="23">
        <f t="shared" si="172"/>
        <v>189.01371234375</v>
      </c>
      <c r="P233" s="46"/>
    </row>
    <row r="234" spans="1:16" x14ac:dyDescent="0.25">
      <c r="A234" s="45">
        <f>IF(G234&lt;&gt;"",1+MAX($A$13:A233),"")</f>
        <v>145</v>
      </c>
      <c r="B234" s="16" t="s">
        <v>303</v>
      </c>
      <c r="C234" s="16" t="s">
        <v>49</v>
      </c>
      <c r="D234" s="59" t="s">
        <v>68</v>
      </c>
      <c r="E234" s="31">
        <f>E228*4</f>
        <v>39.4</v>
      </c>
      <c r="F234" s="39">
        <f>VLOOKUP(H234,'PROJECT SUMMARY'!$C$26:$D$32,2,0)</f>
        <v>0.05</v>
      </c>
      <c r="G234" s="31">
        <f t="shared" si="164"/>
        <v>41.37</v>
      </c>
      <c r="H234" s="16" t="s">
        <v>11</v>
      </c>
      <c r="I234" s="62">
        <v>7.0000000000000001E-3</v>
      </c>
      <c r="J234" s="80">
        <f t="shared" si="169"/>
        <v>0.28959000000000001</v>
      </c>
      <c r="K234" s="23">
        <v>47.5</v>
      </c>
      <c r="L234" s="23">
        <f t="shared" si="170"/>
        <v>13.755525</v>
      </c>
      <c r="M234" s="23">
        <v>0.15</v>
      </c>
      <c r="N234" s="23">
        <f t="shared" si="171"/>
        <v>6.2054999999999998</v>
      </c>
      <c r="O234" s="23">
        <f t="shared" si="172"/>
        <v>19.961024999999999</v>
      </c>
      <c r="P234" s="46"/>
    </row>
    <row r="235" spans="1:16" x14ac:dyDescent="0.25">
      <c r="A235" s="45" t="str">
        <f>IF(G235&lt;&gt;"",1+MAX($A$13:A234),"")</f>
        <v/>
      </c>
      <c r="J235" s="80"/>
      <c r="P235" s="46"/>
    </row>
    <row r="236" spans="1:16" x14ac:dyDescent="0.25">
      <c r="A236" s="45" t="str">
        <f>IF(G236&lt;&gt;"",1+MAX($A$13:A235),"")</f>
        <v/>
      </c>
      <c r="D236" s="58" t="s">
        <v>295</v>
      </c>
      <c r="E236" s="79">
        <v>59.33</v>
      </c>
      <c r="H236" s="16" t="s">
        <v>11</v>
      </c>
      <c r="J236" s="80"/>
      <c r="P236" s="46"/>
    </row>
    <row r="237" spans="1:16" x14ac:dyDescent="0.25">
      <c r="A237" s="45">
        <f>IF(G237&lt;&gt;"",1+MAX($A$13:A236),"")</f>
        <v>146</v>
      </c>
      <c r="B237" s="16" t="s">
        <v>303</v>
      </c>
      <c r="C237" s="16" t="s">
        <v>49</v>
      </c>
      <c r="D237" s="59" t="s">
        <v>291</v>
      </c>
      <c r="E237" s="31">
        <f>E236*10.083*2/32</f>
        <v>37.389024374999998</v>
      </c>
      <c r="F237" s="39">
        <f>VLOOKUP(H237,'PROJECT SUMMARY'!$C$26:$D$32,2,0)</f>
        <v>0</v>
      </c>
      <c r="G237" s="31">
        <f t="shared" ref="G237:G241" si="173">E237*(1+F237)</f>
        <v>37.389024374999998</v>
      </c>
      <c r="H237" s="16" t="s">
        <v>10</v>
      </c>
      <c r="I237" s="62">
        <v>0.35</v>
      </c>
      <c r="J237" s="80">
        <f t="shared" ref="J237:J241" si="174">I237*G237</f>
        <v>13.086158531249998</v>
      </c>
      <c r="K237" s="23">
        <v>47.5</v>
      </c>
      <c r="L237" s="23">
        <f t="shared" ref="L237:L241" si="175">K237*J237</f>
        <v>621.59253023437486</v>
      </c>
      <c r="M237" s="23">
        <v>9.6</v>
      </c>
      <c r="N237" s="23">
        <f t="shared" ref="N237:N241" si="176">M237*G237</f>
        <v>358.93463399999996</v>
      </c>
      <c r="O237" s="23">
        <f t="shared" ref="O237:O241" si="177">L237+N237</f>
        <v>980.52716423437482</v>
      </c>
      <c r="P237" s="46"/>
    </row>
    <row r="238" spans="1:16" x14ac:dyDescent="0.25">
      <c r="A238" s="45">
        <f>IF(G238&lt;&gt;"",1+MAX($A$13:A237),"")</f>
        <v>147</v>
      </c>
      <c r="B238" s="16" t="s">
        <v>303</v>
      </c>
      <c r="C238" s="16" t="s">
        <v>49</v>
      </c>
      <c r="D238" s="59" t="s">
        <v>254</v>
      </c>
      <c r="E238" s="31">
        <f>E236/1.33</f>
        <v>44.609022556390975</v>
      </c>
      <c r="F238" s="39">
        <f>VLOOKUP(H238,'PROJECT SUMMARY'!$C$26:$D$32,2,0)</f>
        <v>0</v>
      </c>
      <c r="G238" s="31">
        <f t="shared" si="173"/>
        <v>44.609022556390975</v>
      </c>
      <c r="H238" s="16" t="s">
        <v>10</v>
      </c>
      <c r="I238" s="62">
        <v>0.35000000000000003</v>
      </c>
      <c r="J238" s="80">
        <f t="shared" si="174"/>
        <v>15.613157894736842</v>
      </c>
      <c r="K238" s="23">
        <v>47.5</v>
      </c>
      <c r="L238" s="23">
        <f t="shared" si="175"/>
        <v>741.625</v>
      </c>
      <c r="M238" s="23">
        <v>15.5</v>
      </c>
      <c r="N238" s="23">
        <f t="shared" si="176"/>
        <v>691.43984962406012</v>
      </c>
      <c r="O238" s="23">
        <f t="shared" si="177"/>
        <v>1433.0648496240601</v>
      </c>
      <c r="P238" s="46"/>
    </row>
    <row r="239" spans="1:16" x14ac:dyDescent="0.25">
      <c r="A239" s="45">
        <f>IF(G239&lt;&gt;"",1+MAX($A$13:A238),"")</f>
        <v>148</v>
      </c>
      <c r="B239" s="16" t="s">
        <v>303</v>
      </c>
      <c r="C239" s="16" t="s">
        <v>49</v>
      </c>
      <c r="D239" s="59" t="s">
        <v>255</v>
      </c>
      <c r="E239" s="31">
        <f>E236*2</f>
        <v>118.66</v>
      </c>
      <c r="F239" s="39">
        <f>VLOOKUP(H239,'PROJECT SUMMARY'!$C$26:$D$32,2,0)</f>
        <v>0.05</v>
      </c>
      <c r="G239" s="31">
        <f t="shared" si="173"/>
        <v>124.593</v>
      </c>
      <c r="H239" s="16" t="s">
        <v>11</v>
      </c>
      <c r="I239" s="62">
        <v>3.5000000000000003E-2</v>
      </c>
      <c r="J239" s="80">
        <f t="shared" si="174"/>
        <v>4.3607550000000002</v>
      </c>
      <c r="K239" s="23">
        <v>47.5</v>
      </c>
      <c r="L239" s="23">
        <f t="shared" si="175"/>
        <v>207.1358625</v>
      </c>
      <c r="M239" s="23">
        <v>1.55</v>
      </c>
      <c r="N239" s="23">
        <f t="shared" si="176"/>
        <v>193.11915000000002</v>
      </c>
      <c r="O239" s="23">
        <f t="shared" si="177"/>
        <v>400.25501250000002</v>
      </c>
      <c r="P239" s="46"/>
    </row>
    <row r="240" spans="1:16" x14ac:dyDescent="0.25">
      <c r="A240" s="45">
        <f>IF(G240&lt;&gt;"",1+MAX($A$13:A239),"")</f>
        <v>149</v>
      </c>
      <c r="B240" s="16" t="s">
        <v>303</v>
      </c>
      <c r="C240" s="16" t="s">
        <v>49</v>
      </c>
      <c r="D240" s="59" t="s">
        <v>256</v>
      </c>
      <c r="E240" s="31">
        <f>E236</f>
        <v>59.33</v>
      </c>
      <c r="F240" s="39">
        <f>VLOOKUP(H240,'PROJECT SUMMARY'!$C$26:$D$32,2,0)</f>
        <v>0.05</v>
      </c>
      <c r="G240" s="31">
        <f t="shared" si="173"/>
        <v>62.296500000000002</v>
      </c>
      <c r="H240" s="16" t="s">
        <v>11</v>
      </c>
      <c r="I240" s="62">
        <v>3.5000000000000003E-2</v>
      </c>
      <c r="J240" s="80">
        <f t="shared" si="174"/>
        <v>2.1803775000000001</v>
      </c>
      <c r="K240" s="23">
        <v>47.5</v>
      </c>
      <c r="L240" s="23">
        <f t="shared" si="175"/>
        <v>103.56793125</v>
      </c>
      <c r="M240" s="23">
        <v>1.55</v>
      </c>
      <c r="N240" s="23">
        <f t="shared" si="176"/>
        <v>96.559575000000009</v>
      </c>
      <c r="O240" s="23">
        <f t="shared" si="177"/>
        <v>200.12750625000001</v>
      </c>
      <c r="P240" s="46"/>
    </row>
    <row r="241" spans="1:16" x14ac:dyDescent="0.25">
      <c r="A241" s="45">
        <f>IF(G241&lt;&gt;"",1+MAX($A$13:A240),"")</f>
        <v>150</v>
      </c>
      <c r="B241" s="16" t="s">
        <v>303</v>
      </c>
      <c r="C241" s="16" t="s">
        <v>49</v>
      </c>
      <c r="D241" s="59" t="s">
        <v>68</v>
      </c>
      <c r="E241" s="31">
        <f>E236*4</f>
        <v>237.32</v>
      </c>
      <c r="F241" s="39">
        <f>VLOOKUP(H241,'PROJECT SUMMARY'!$C$26:$D$32,2,0)</f>
        <v>0.05</v>
      </c>
      <c r="G241" s="31">
        <f t="shared" si="173"/>
        <v>249.18600000000001</v>
      </c>
      <c r="H241" s="16" t="s">
        <v>11</v>
      </c>
      <c r="I241" s="62">
        <v>7.0000000000000001E-3</v>
      </c>
      <c r="J241" s="80">
        <f t="shared" si="174"/>
        <v>1.744302</v>
      </c>
      <c r="K241" s="23">
        <v>47.5</v>
      </c>
      <c r="L241" s="23">
        <f t="shared" si="175"/>
        <v>82.854344999999995</v>
      </c>
      <c r="M241" s="23">
        <v>0.15</v>
      </c>
      <c r="N241" s="23">
        <f t="shared" si="176"/>
        <v>37.377899999999997</v>
      </c>
      <c r="O241" s="23">
        <f t="shared" si="177"/>
        <v>120.23224499999999</v>
      </c>
      <c r="P241" s="46"/>
    </row>
    <row r="242" spans="1:16" x14ac:dyDescent="0.25">
      <c r="A242" s="45" t="str">
        <f>IF(G242&lt;&gt;"",1+MAX($A$13:A241),"")</f>
        <v/>
      </c>
      <c r="J242" s="80"/>
      <c r="P242" s="46"/>
    </row>
    <row r="243" spans="1:16" x14ac:dyDescent="0.25">
      <c r="A243" s="45" t="str">
        <f>IF(G243&lt;&gt;"",1+MAX($A$13:A242),"")</f>
        <v/>
      </c>
      <c r="D243" s="58" t="s">
        <v>300</v>
      </c>
      <c r="E243" s="79">
        <v>24.09</v>
      </c>
      <c r="H243" s="16" t="s">
        <v>11</v>
      </c>
      <c r="J243" s="80"/>
      <c r="P243" s="46"/>
    </row>
    <row r="244" spans="1:16" x14ac:dyDescent="0.25">
      <c r="A244" s="45">
        <f>IF(G244&lt;&gt;"",1+MAX($A$13:A243),"")</f>
        <v>151</v>
      </c>
      <c r="B244" s="16" t="s">
        <v>303</v>
      </c>
      <c r="C244" s="16" t="s">
        <v>49</v>
      </c>
      <c r="D244" s="59" t="s">
        <v>288</v>
      </c>
      <c r="E244" s="31">
        <f>E243*10.083/32</f>
        <v>7.5906084375000002</v>
      </c>
      <c r="F244" s="39">
        <f>VLOOKUP(H244,'PROJECT SUMMARY'!$C$26:$D$32,2,0)</f>
        <v>0</v>
      </c>
      <c r="G244" s="31">
        <f t="shared" ref="G244:G249" si="178">E244*(1+F244)</f>
        <v>7.5906084375000002</v>
      </c>
      <c r="H244" s="16" t="s">
        <v>10</v>
      </c>
      <c r="I244" s="62">
        <v>0.35</v>
      </c>
      <c r="J244" s="80">
        <f t="shared" ref="J244:J249" si="179">I244*G244</f>
        <v>2.656712953125</v>
      </c>
      <c r="K244" s="23">
        <v>47.5</v>
      </c>
      <c r="L244" s="23">
        <f t="shared" ref="L244:L249" si="180">K244*J244</f>
        <v>126.1938652734375</v>
      </c>
      <c r="M244" s="23">
        <v>9.6</v>
      </c>
      <c r="N244" s="23">
        <f t="shared" ref="N244:N249" si="181">M244*G244</f>
        <v>72.869840999999994</v>
      </c>
      <c r="O244" s="23">
        <f t="shared" ref="O244:O249" si="182">L244+N244</f>
        <v>199.0637062734375</v>
      </c>
      <c r="P244" s="46"/>
    </row>
    <row r="245" spans="1:16" x14ac:dyDescent="0.25">
      <c r="A245" s="45">
        <f>IF(G245&lt;&gt;"",1+MAX($A$13:A244),"")</f>
        <v>152</v>
      </c>
      <c r="B245" s="16" t="s">
        <v>303</v>
      </c>
      <c r="C245" s="16" t="s">
        <v>49</v>
      </c>
      <c r="D245" s="59" t="s">
        <v>297</v>
      </c>
      <c r="E245" s="31">
        <f>E243*10.083/32</f>
        <v>7.5906084375000002</v>
      </c>
      <c r="F245" s="39">
        <f>VLOOKUP(H245,'PROJECT SUMMARY'!$C$26:$D$32,2,0)</f>
        <v>0</v>
      </c>
      <c r="G245" s="31">
        <f t="shared" ref="G245" si="183">E245*(1+F245)</f>
        <v>7.5906084375000002</v>
      </c>
      <c r="H245" s="16" t="s">
        <v>10</v>
      </c>
      <c r="I245" s="62">
        <v>0.35</v>
      </c>
      <c r="J245" s="71">
        <f t="shared" si="179"/>
        <v>2.656712953125</v>
      </c>
      <c r="K245" s="23">
        <v>47.5</v>
      </c>
      <c r="L245" s="23">
        <f t="shared" si="180"/>
        <v>126.1938652734375</v>
      </c>
      <c r="M245" s="23">
        <v>12.16</v>
      </c>
      <c r="N245" s="23">
        <f t="shared" si="181"/>
        <v>92.301798599999998</v>
      </c>
      <c r="O245" s="23">
        <f t="shared" si="182"/>
        <v>218.49566387343748</v>
      </c>
      <c r="P245" s="46"/>
    </row>
    <row r="246" spans="1:16" x14ac:dyDescent="0.25">
      <c r="A246" s="45">
        <f>IF(G246&lt;&gt;"",1+MAX($A$13:A245),"")</f>
        <v>153</v>
      </c>
      <c r="B246" s="16" t="s">
        <v>303</v>
      </c>
      <c r="C246" s="16" t="s">
        <v>49</v>
      </c>
      <c r="D246" s="59" t="s">
        <v>254</v>
      </c>
      <c r="E246" s="31">
        <f>E243/1.33</f>
        <v>18.112781954887218</v>
      </c>
      <c r="F246" s="39">
        <f>VLOOKUP(H246,'PROJECT SUMMARY'!$C$26:$D$32,2,0)</f>
        <v>0</v>
      </c>
      <c r="G246" s="31">
        <f t="shared" si="178"/>
        <v>18.112781954887218</v>
      </c>
      <c r="H246" s="16" t="s">
        <v>10</v>
      </c>
      <c r="I246" s="62">
        <v>0.35000000000000003</v>
      </c>
      <c r="J246" s="80">
        <f t="shared" si="179"/>
        <v>6.3394736842105273</v>
      </c>
      <c r="K246" s="23">
        <v>47.5</v>
      </c>
      <c r="L246" s="23">
        <f t="shared" si="180"/>
        <v>301.12500000000006</v>
      </c>
      <c r="M246" s="23">
        <v>15.5</v>
      </c>
      <c r="N246" s="23">
        <f t="shared" si="181"/>
        <v>280.74812030075191</v>
      </c>
      <c r="O246" s="23">
        <f t="shared" si="182"/>
        <v>581.87312030075191</v>
      </c>
      <c r="P246" s="46"/>
    </row>
    <row r="247" spans="1:16" x14ac:dyDescent="0.25">
      <c r="A247" s="45">
        <f>IF(G247&lt;&gt;"",1+MAX($A$13:A246),"")</f>
        <v>154</v>
      </c>
      <c r="B247" s="16" t="s">
        <v>303</v>
      </c>
      <c r="C247" s="16" t="s">
        <v>49</v>
      </c>
      <c r="D247" s="59" t="s">
        <v>255</v>
      </c>
      <c r="E247" s="31">
        <f>E243*2</f>
        <v>48.18</v>
      </c>
      <c r="F247" s="39">
        <f>VLOOKUP(H247,'PROJECT SUMMARY'!$C$26:$D$32,2,0)</f>
        <v>0.05</v>
      </c>
      <c r="G247" s="31">
        <f t="shared" si="178"/>
        <v>50.588999999999999</v>
      </c>
      <c r="H247" s="16" t="s">
        <v>11</v>
      </c>
      <c r="I247" s="62">
        <v>3.5000000000000003E-2</v>
      </c>
      <c r="J247" s="80">
        <f t="shared" si="179"/>
        <v>1.770615</v>
      </c>
      <c r="K247" s="23">
        <v>47.5</v>
      </c>
      <c r="L247" s="23">
        <f t="shared" si="180"/>
        <v>84.104212500000003</v>
      </c>
      <c r="M247" s="23">
        <v>1.55</v>
      </c>
      <c r="N247" s="23">
        <f t="shared" si="181"/>
        <v>78.412949999999995</v>
      </c>
      <c r="O247" s="23">
        <f t="shared" si="182"/>
        <v>162.51716249999998</v>
      </c>
      <c r="P247" s="46"/>
    </row>
    <row r="248" spans="1:16" x14ac:dyDescent="0.25">
      <c r="A248" s="45">
        <f>IF(G248&lt;&gt;"",1+MAX($A$13:A247),"")</f>
        <v>155</v>
      </c>
      <c r="B248" s="16" t="s">
        <v>303</v>
      </c>
      <c r="C248" s="16" t="s">
        <v>49</v>
      </c>
      <c r="D248" s="59" t="s">
        <v>256</v>
      </c>
      <c r="E248" s="31">
        <f>E243</f>
        <v>24.09</v>
      </c>
      <c r="F248" s="39">
        <f>VLOOKUP(H248,'PROJECT SUMMARY'!$C$26:$D$32,2,0)</f>
        <v>0.05</v>
      </c>
      <c r="G248" s="31">
        <f t="shared" si="178"/>
        <v>25.294499999999999</v>
      </c>
      <c r="H248" s="16" t="s">
        <v>11</v>
      </c>
      <c r="I248" s="62">
        <v>3.5000000000000003E-2</v>
      </c>
      <c r="J248" s="80">
        <f t="shared" si="179"/>
        <v>0.88530750000000002</v>
      </c>
      <c r="K248" s="23">
        <v>47.5</v>
      </c>
      <c r="L248" s="23">
        <f t="shared" si="180"/>
        <v>42.052106250000001</v>
      </c>
      <c r="M248" s="23">
        <v>1.55</v>
      </c>
      <c r="N248" s="23">
        <f t="shared" si="181"/>
        <v>39.206474999999998</v>
      </c>
      <c r="O248" s="23">
        <f t="shared" si="182"/>
        <v>81.258581249999992</v>
      </c>
      <c r="P248" s="46"/>
    </row>
    <row r="249" spans="1:16" x14ac:dyDescent="0.25">
      <c r="A249" s="45">
        <f>IF(G249&lt;&gt;"",1+MAX($A$13:A248),"")</f>
        <v>156</v>
      </c>
      <c r="B249" s="16" t="s">
        <v>303</v>
      </c>
      <c r="C249" s="16" t="s">
        <v>49</v>
      </c>
      <c r="D249" s="59" t="s">
        <v>68</v>
      </c>
      <c r="E249" s="31">
        <f>E243*4</f>
        <v>96.36</v>
      </c>
      <c r="F249" s="39">
        <f>VLOOKUP(H249,'PROJECT SUMMARY'!$C$26:$D$32,2,0)</f>
        <v>0.05</v>
      </c>
      <c r="G249" s="31">
        <f t="shared" si="178"/>
        <v>101.178</v>
      </c>
      <c r="H249" s="16" t="s">
        <v>11</v>
      </c>
      <c r="I249" s="62">
        <v>7.0000000000000001E-3</v>
      </c>
      <c r="J249" s="80">
        <f t="shared" si="179"/>
        <v>0.70824600000000004</v>
      </c>
      <c r="K249" s="23">
        <v>47.5</v>
      </c>
      <c r="L249" s="23">
        <f t="shared" si="180"/>
        <v>33.641685000000003</v>
      </c>
      <c r="M249" s="23">
        <v>0.15</v>
      </c>
      <c r="N249" s="23">
        <f t="shared" si="181"/>
        <v>15.176699999999999</v>
      </c>
      <c r="O249" s="23">
        <f t="shared" si="182"/>
        <v>48.818384999999999</v>
      </c>
      <c r="P249" s="46"/>
    </row>
    <row r="250" spans="1:16" x14ac:dyDescent="0.25">
      <c r="A250" s="45" t="str">
        <f>IF(G250&lt;&gt;"",1+MAX($A$13:A249),"")</f>
        <v/>
      </c>
      <c r="J250" s="80"/>
      <c r="P250" s="46"/>
    </row>
    <row r="251" spans="1:16" x14ac:dyDescent="0.25">
      <c r="A251" s="45" t="str">
        <f>IF(G251&lt;&gt;"",1+MAX($A$13:A250),"")</f>
        <v/>
      </c>
      <c r="D251" s="58" t="s">
        <v>298</v>
      </c>
      <c r="E251" s="79">
        <v>12.62</v>
      </c>
      <c r="H251" s="16" t="s">
        <v>11</v>
      </c>
      <c r="J251" s="80"/>
      <c r="P251" s="46"/>
    </row>
    <row r="252" spans="1:16" x14ac:dyDescent="0.25">
      <c r="A252" s="45">
        <f>IF(G252&lt;&gt;"",1+MAX($A$13:A251),"")</f>
        <v>157</v>
      </c>
      <c r="B252" s="16" t="s">
        <v>303</v>
      </c>
      <c r="C252" s="16" t="s">
        <v>49</v>
      </c>
      <c r="D252" s="59" t="s">
        <v>299</v>
      </c>
      <c r="E252" s="31">
        <f>E251*10.083*2/32</f>
        <v>7.9529662499999993</v>
      </c>
      <c r="F252" s="39">
        <f>VLOOKUP(H252,'PROJECT SUMMARY'!$C$26:$D$32,2,0)</f>
        <v>0</v>
      </c>
      <c r="G252" s="31">
        <f t="shared" ref="G252:G256" si="184">E252*(1+F252)</f>
        <v>7.9529662499999993</v>
      </c>
      <c r="H252" s="16" t="s">
        <v>10</v>
      </c>
      <c r="I252" s="62">
        <v>0.35</v>
      </c>
      <c r="J252" s="71">
        <f t="shared" ref="J252:J256" si="185">I252*G252</f>
        <v>2.7835381874999996</v>
      </c>
      <c r="K252" s="23">
        <v>47.5</v>
      </c>
      <c r="L252" s="23">
        <f t="shared" ref="L252:L256" si="186">K252*J252</f>
        <v>132.21806390624999</v>
      </c>
      <c r="M252" s="23">
        <v>12.16</v>
      </c>
      <c r="N252" s="23">
        <f t="shared" ref="N252:N256" si="187">M252*G252</f>
        <v>96.708069599999988</v>
      </c>
      <c r="O252" s="23">
        <f t="shared" ref="O252:O256" si="188">L252+N252</f>
        <v>228.92613350624998</v>
      </c>
      <c r="P252" s="46"/>
    </row>
    <row r="253" spans="1:16" x14ac:dyDescent="0.25">
      <c r="A253" s="45">
        <f>IF(G253&lt;&gt;"",1+MAX($A$13:A252),"")</f>
        <v>158</v>
      </c>
      <c r="B253" s="16" t="s">
        <v>303</v>
      </c>
      <c r="C253" s="16" t="s">
        <v>49</v>
      </c>
      <c r="D253" s="59" t="s">
        <v>254</v>
      </c>
      <c r="E253" s="31">
        <f>E251/1.33</f>
        <v>9.4887218045112771</v>
      </c>
      <c r="F253" s="39">
        <f>VLOOKUP(H253,'PROJECT SUMMARY'!$C$26:$D$32,2,0)</f>
        <v>0</v>
      </c>
      <c r="G253" s="31">
        <f t="shared" si="184"/>
        <v>9.4887218045112771</v>
      </c>
      <c r="H253" s="16" t="s">
        <v>10</v>
      </c>
      <c r="I253" s="62">
        <v>0.35000000000000003</v>
      </c>
      <c r="J253" s="80">
        <f t="shared" si="185"/>
        <v>3.3210526315789473</v>
      </c>
      <c r="K253" s="23">
        <v>47.5</v>
      </c>
      <c r="L253" s="23">
        <f t="shared" si="186"/>
        <v>157.75</v>
      </c>
      <c r="M253" s="23">
        <v>15.5</v>
      </c>
      <c r="N253" s="23">
        <f t="shared" si="187"/>
        <v>147.0751879699248</v>
      </c>
      <c r="O253" s="23">
        <f t="shared" si="188"/>
        <v>304.8251879699248</v>
      </c>
      <c r="P253" s="46"/>
    </row>
    <row r="254" spans="1:16" x14ac:dyDescent="0.25">
      <c r="A254" s="45">
        <f>IF(G254&lt;&gt;"",1+MAX($A$13:A253),"")</f>
        <v>159</v>
      </c>
      <c r="B254" s="16" t="s">
        <v>303</v>
      </c>
      <c r="C254" s="16" t="s">
        <v>49</v>
      </c>
      <c r="D254" s="59" t="s">
        <v>255</v>
      </c>
      <c r="E254" s="31">
        <f>E251*2</f>
        <v>25.24</v>
      </c>
      <c r="F254" s="39">
        <f>VLOOKUP(H254,'PROJECT SUMMARY'!$C$26:$D$32,2,0)</f>
        <v>0.05</v>
      </c>
      <c r="G254" s="31">
        <f t="shared" si="184"/>
        <v>26.501999999999999</v>
      </c>
      <c r="H254" s="16" t="s">
        <v>11</v>
      </c>
      <c r="I254" s="62">
        <v>3.5000000000000003E-2</v>
      </c>
      <c r="J254" s="80">
        <f t="shared" si="185"/>
        <v>0.92757000000000001</v>
      </c>
      <c r="K254" s="23">
        <v>47.5</v>
      </c>
      <c r="L254" s="23">
        <f t="shared" si="186"/>
        <v>44.059575000000002</v>
      </c>
      <c r="M254" s="23">
        <v>1.55</v>
      </c>
      <c r="N254" s="23">
        <f t="shared" si="187"/>
        <v>41.078099999999999</v>
      </c>
      <c r="O254" s="23">
        <f t="shared" si="188"/>
        <v>85.137675000000002</v>
      </c>
      <c r="P254" s="46"/>
    </row>
    <row r="255" spans="1:16" x14ac:dyDescent="0.25">
      <c r="A255" s="45">
        <f>IF(G255&lt;&gt;"",1+MAX($A$13:A254),"")</f>
        <v>160</v>
      </c>
      <c r="B255" s="16" t="s">
        <v>303</v>
      </c>
      <c r="C255" s="16" t="s">
        <v>49</v>
      </c>
      <c r="D255" s="59" t="s">
        <v>256</v>
      </c>
      <c r="E255" s="31">
        <f>E251</f>
        <v>12.62</v>
      </c>
      <c r="F255" s="39">
        <f>VLOOKUP(H255,'PROJECT SUMMARY'!$C$26:$D$32,2,0)</f>
        <v>0.05</v>
      </c>
      <c r="G255" s="31">
        <f t="shared" si="184"/>
        <v>13.250999999999999</v>
      </c>
      <c r="H255" s="16" t="s">
        <v>11</v>
      </c>
      <c r="I255" s="62">
        <v>3.5000000000000003E-2</v>
      </c>
      <c r="J255" s="80">
        <f t="shared" si="185"/>
        <v>0.463785</v>
      </c>
      <c r="K255" s="23">
        <v>47.5</v>
      </c>
      <c r="L255" s="23">
        <f t="shared" si="186"/>
        <v>22.029787500000001</v>
      </c>
      <c r="M255" s="23">
        <v>1.55</v>
      </c>
      <c r="N255" s="23">
        <f t="shared" si="187"/>
        <v>20.53905</v>
      </c>
      <c r="O255" s="23">
        <f t="shared" si="188"/>
        <v>42.568837500000001</v>
      </c>
      <c r="P255" s="46"/>
    </row>
    <row r="256" spans="1:16" x14ac:dyDescent="0.25">
      <c r="A256" s="45">
        <f>IF(G256&lt;&gt;"",1+MAX($A$13:A255),"")</f>
        <v>161</v>
      </c>
      <c r="B256" s="16" t="s">
        <v>303</v>
      </c>
      <c r="C256" s="16" t="s">
        <v>49</v>
      </c>
      <c r="D256" s="59" t="s">
        <v>68</v>
      </c>
      <c r="E256" s="31">
        <f>E251*4</f>
        <v>50.48</v>
      </c>
      <c r="F256" s="39">
        <f>VLOOKUP(H256,'PROJECT SUMMARY'!$C$26:$D$32,2,0)</f>
        <v>0.05</v>
      </c>
      <c r="G256" s="31">
        <f t="shared" si="184"/>
        <v>53.003999999999998</v>
      </c>
      <c r="H256" s="16" t="s">
        <v>11</v>
      </c>
      <c r="I256" s="62">
        <v>7.0000000000000001E-3</v>
      </c>
      <c r="J256" s="80">
        <f t="shared" si="185"/>
        <v>0.37102799999999997</v>
      </c>
      <c r="K256" s="23">
        <v>47.5</v>
      </c>
      <c r="L256" s="23">
        <f t="shared" si="186"/>
        <v>17.623829999999998</v>
      </c>
      <c r="M256" s="23">
        <v>0.15</v>
      </c>
      <c r="N256" s="23">
        <f t="shared" si="187"/>
        <v>7.9505999999999997</v>
      </c>
      <c r="O256" s="23">
        <f t="shared" si="188"/>
        <v>25.57443</v>
      </c>
      <c r="P256" s="46"/>
    </row>
    <row r="257" spans="1:16" x14ac:dyDescent="0.25">
      <c r="A257" s="45" t="str">
        <f>IF(G257&lt;&gt;"",1+MAX($A$13:A256),"")</f>
        <v/>
      </c>
      <c r="J257" s="80"/>
      <c r="P257" s="46"/>
    </row>
    <row r="258" spans="1:16" x14ac:dyDescent="0.25">
      <c r="A258" s="45" t="str">
        <f>IF(G258&lt;&gt;"",1+MAX($A$13:A257),"")</f>
        <v/>
      </c>
      <c r="D258" s="58" t="s">
        <v>296</v>
      </c>
      <c r="E258" s="79">
        <v>11.29</v>
      </c>
      <c r="H258" s="16" t="s">
        <v>11</v>
      </c>
      <c r="J258" s="80"/>
      <c r="P258" s="46"/>
    </row>
    <row r="259" spans="1:16" x14ac:dyDescent="0.25">
      <c r="A259" s="45">
        <f>IF(G259&lt;&gt;"",1+MAX($A$13:A258),"")</f>
        <v>162</v>
      </c>
      <c r="B259" s="16" t="s">
        <v>303</v>
      </c>
      <c r="C259" s="16" t="s">
        <v>49</v>
      </c>
      <c r="D259" s="59" t="s">
        <v>291</v>
      </c>
      <c r="E259" s="31">
        <f>E258*10.583*2/32</f>
        <v>7.4676293749999996</v>
      </c>
      <c r="F259" s="39">
        <f>VLOOKUP(H259,'PROJECT SUMMARY'!$C$26:$D$32,2,0)</f>
        <v>0</v>
      </c>
      <c r="G259" s="31">
        <f t="shared" ref="G259:G263" si="189">E259*(1+F259)</f>
        <v>7.4676293749999996</v>
      </c>
      <c r="H259" s="16" t="s">
        <v>10</v>
      </c>
      <c r="I259" s="62">
        <v>0.35</v>
      </c>
      <c r="J259" s="80">
        <f t="shared" ref="J259" si="190">I259*G259</f>
        <v>2.6136702812499997</v>
      </c>
      <c r="K259" s="23">
        <v>47.5</v>
      </c>
      <c r="L259" s="23">
        <f t="shared" ref="L259" si="191">K259*J259</f>
        <v>124.14933835937498</v>
      </c>
      <c r="M259" s="23">
        <v>9.6</v>
      </c>
      <c r="N259" s="23">
        <f t="shared" ref="N259" si="192">M259*G259</f>
        <v>71.689241999999993</v>
      </c>
      <c r="O259" s="23">
        <f t="shared" ref="O259" si="193">L259+N259</f>
        <v>195.83858035937499</v>
      </c>
      <c r="P259" s="46"/>
    </row>
    <row r="260" spans="1:16" x14ac:dyDescent="0.25">
      <c r="A260" s="45">
        <f>IF(G260&lt;&gt;"",1+MAX($A$13:A259),"")</f>
        <v>163</v>
      </c>
      <c r="B260" s="16" t="s">
        <v>303</v>
      </c>
      <c r="C260" s="16" t="s">
        <v>49</v>
      </c>
      <c r="D260" s="59" t="s">
        <v>293</v>
      </c>
      <c r="E260" s="31">
        <f>E258/1.33</f>
        <v>8.4887218045112771</v>
      </c>
      <c r="F260" s="39">
        <f>VLOOKUP(H260,'PROJECT SUMMARY'!$C$26:$D$32,2,0)</f>
        <v>0</v>
      </c>
      <c r="G260" s="31">
        <f t="shared" si="189"/>
        <v>8.4887218045112771</v>
      </c>
      <c r="H260" s="16" t="s">
        <v>10</v>
      </c>
      <c r="I260" s="62">
        <v>0.42000000000000004</v>
      </c>
      <c r="J260" s="80">
        <f t="shared" ref="J260:J263" si="194">I260*G260</f>
        <v>3.5652631578947367</v>
      </c>
      <c r="K260" s="23">
        <v>47.5</v>
      </c>
      <c r="L260" s="23">
        <f t="shared" ref="L260:L263" si="195">K260*J260</f>
        <v>169.35</v>
      </c>
      <c r="M260" s="23">
        <v>18.600000000000001</v>
      </c>
      <c r="N260" s="23">
        <f t="shared" ref="N260:N263" si="196">M260*G260</f>
        <v>157.89022556390978</v>
      </c>
      <c r="O260" s="23">
        <f t="shared" ref="O260:O263" si="197">L260+N260</f>
        <v>327.2402255639098</v>
      </c>
      <c r="P260" s="46"/>
    </row>
    <row r="261" spans="1:16" x14ac:dyDescent="0.25">
      <c r="A261" s="45">
        <f>IF(G261&lt;&gt;"",1+MAX($A$13:A260),"")</f>
        <v>164</v>
      </c>
      <c r="B261" s="16" t="s">
        <v>303</v>
      </c>
      <c r="C261" s="16" t="s">
        <v>49</v>
      </c>
      <c r="D261" s="59" t="s">
        <v>255</v>
      </c>
      <c r="E261" s="31">
        <f>E258*2</f>
        <v>22.58</v>
      </c>
      <c r="F261" s="39">
        <f>VLOOKUP(H261,'PROJECT SUMMARY'!$C$26:$D$32,2,0)</f>
        <v>0.05</v>
      </c>
      <c r="G261" s="31">
        <f t="shared" si="189"/>
        <v>23.709</v>
      </c>
      <c r="H261" s="16" t="s">
        <v>11</v>
      </c>
      <c r="I261" s="62">
        <v>3.5000000000000003E-2</v>
      </c>
      <c r="J261" s="80">
        <f t="shared" si="194"/>
        <v>0.82981500000000008</v>
      </c>
      <c r="K261" s="23">
        <v>47.5</v>
      </c>
      <c r="L261" s="23">
        <f t="shared" si="195"/>
        <v>39.4162125</v>
      </c>
      <c r="M261" s="23">
        <v>1.55</v>
      </c>
      <c r="N261" s="23">
        <f t="shared" si="196"/>
        <v>36.748950000000001</v>
      </c>
      <c r="O261" s="23">
        <f t="shared" si="197"/>
        <v>76.165162500000008</v>
      </c>
      <c r="P261" s="46"/>
    </row>
    <row r="262" spans="1:16" x14ac:dyDescent="0.25">
      <c r="A262" s="45">
        <f>IF(G262&lt;&gt;"",1+MAX($A$13:A261),"")</f>
        <v>165</v>
      </c>
      <c r="B262" s="16" t="s">
        <v>303</v>
      </c>
      <c r="C262" s="16" t="s">
        <v>49</v>
      </c>
      <c r="D262" s="59" t="s">
        <v>256</v>
      </c>
      <c r="E262" s="31">
        <f>E258</f>
        <v>11.29</v>
      </c>
      <c r="F262" s="39">
        <f>VLOOKUP(H262,'PROJECT SUMMARY'!$C$26:$D$32,2,0)</f>
        <v>0.05</v>
      </c>
      <c r="G262" s="31">
        <f t="shared" si="189"/>
        <v>11.8545</v>
      </c>
      <c r="H262" s="16" t="s">
        <v>11</v>
      </c>
      <c r="I262" s="62">
        <v>3.5000000000000003E-2</v>
      </c>
      <c r="J262" s="80">
        <f t="shared" si="194"/>
        <v>0.41490750000000004</v>
      </c>
      <c r="K262" s="23">
        <v>47.5</v>
      </c>
      <c r="L262" s="23">
        <f t="shared" si="195"/>
        <v>19.70810625</v>
      </c>
      <c r="M262" s="23">
        <v>1.55</v>
      </c>
      <c r="N262" s="23">
        <f t="shared" si="196"/>
        <v>18.374475</v>
      </c>
      <c r="O262" s="23">
        <f t="shared" si="197"/>
        <v>38.082581250000004</v>
      </c>
      <c r="P262" s="46"/>
    </row>
    <row r="263" spans="1:16" x14ac:dyDescent="0.25">
      <c r="A263" s="45">
        <f>IF(G263&lt;&gt;"",1+MAX($A$13:A262),"")</f>
        <v>166</v>
      </c>
      <c r="B263" s="16" t="s">
        <v>303</v>
      </c>
      <c r="C263" s="16" t="s">
        <v>49</v>
      </c>
      <c r="D263" s="59" t="s">
        <v>68</v>
      </c>
      <c r="E263" s="31">
        <f>E258*4</f>
        <v>45.16</v>
      </c>
      <c r="F263" s="39">
        <f>VLOOKUP(H263,'PROJECT SUMMARY'!$C$26:$D$32,2,0)</f>
        <v>0.05</v>
      </c>
      <c r="G263" s="31">
        <f t="shared" si="189"/>
        <v>47.417999999999999</v>
      </c>
      <c r="H263" s="16" t="s">
        <v>11</v>
      </c>
      <c r="I263" s="62">
        <v>7.0000000000000001E-3</v>
      </c>
      <c r="J263" s="80">
        <f t="shared" si="194"/>
        <v>0.331926</v>
      </c>
      <c r="K263" s="23">
        <v>47.5</v>
      </c>
      <c r="L263" s="23">
        <f t="shared" si="195"/>
        <v>15.766484999999999</v>
      </c>
      <c r="M263" s="23">
        <v>0.15</v>
      </c>
      <c r="N263" s="23">
        <f t="shared" si="196"/>
        <v>7.1126999999999994</v>
      </c>
      <c r="O263" s="23">
        <f t="shared" si="197"/>
        <v>22.879185</v>
      </c>
      <c r="P263" s="46"/>
    </row>
    <row r="264" spans="1:16" x14ac:dyDescent="0.25">
      <c r="A264" s="45" t="str">
        <f>IF(G264&lt;&gt;"",1+MAX($A$13:A263),"")</f>
        <v/>
      </c>
      <c r="J264" s="80"/>
      <c r="P264" s="46"/>
    </row>
    <row r="265" spans="1:16" x14ac:dyDescent="0.25">
      <c r="A265" s="45" t="str">
        <f>IF(G265&lt;&gt;"",1+MAX($A$13:A264),"")</f>
        <v/>
      </c>
      <c r="D265" s="58" t="s">
        <v>301</v>
      </c>
      <c r="E265" s="79">
        <v>318.39</v>
      </c>
      <c r="H265" s="16" t="s">
        <v>11</v>
      </c>
      <c r="J265" s="80"/>
      <c r="P265" s="46"/>
    </row>
    <row r="266" spans="1:16" x14ac:dyDescent="0.25">
      <c r="A266" s="45">
        <f>IF(G266&lt;&gt;"",1+MAX($A$13:A265),"")</f>
        <v>167</v>
      </c>
      <c r="B266" s="16" t="s">
        <v>303</v>
      </c>
      <c r="C266" s="16" t="s">
        <v>49</v>
      </c>
      <c r="D266" s="59" t="s">
        <v>280</v>
      </c>
      <c r="E266" s="31">
        <f>E265/1.33*0.583/8</f>
        <v>17.445617481203005</v>
      </c>
      <c r="F266" s="39">
        <f>VLOOKUP(H266,'PROJECT SUMMARY'!$C$26:$D$32,2,0)</f>
        <v>0</v>
      </c>
      <c r="G266" s="31">
        <f t="shared" ref="G266:G268" si="198">E266*(1+F266)</f>
        <v>17.445617481203005</v>
      </c>
      <c r="H266" s="16" t="s">
        <v>10</v>
      </c>
      <c r="I266" s="62">
        <v>0.32</v>
      </c>
      <c r="J266" s="80">
        <f t="shared" ref="J266:J268" si="199">I266*G266</f>
        <v>5.5825975939849615</v>
      </c>
      <c r="K266" s="23">
        <v>47.5</v>
      </c>
      <c r="L266" s="23">
        <f t="shared" ref="L266:L268" si="200">K266*J266</f>
        <v>265.17338571428564</v>
      </c>
      <c r="M266" s="23">
        <v>14.8</v>
      </c>
      <c r="N266" s="23">
        <f t="shared" ref="N266:N268" si="201">M266*G266</f>
        <v>258.19513872180448</v>
      </c>
      <c r="O266" s="23">
        <f t="shared" ref="O266:O268" si="202">L266+N266</f>
        <v>523.36852443609018</v>
      </c>
      <c r="P266" s="46"/>
    </row>
    <row r="267" spans="1:16" x14ac:dyDescent="0.25">
      <c r="A267" s="45">
        <f>IF(G267&lt;&gt;"",1+MAX($A$13:A266),"")</f>
        <v>168</v>
      </c>
      <c r="B267" s="16" t="s">
        <v>303</v>
      </c>
      <c r="C267" s="16" t="s">
        <v>49</v>
      </c>
      <c r="D267" s="59" t="s">
        <v>251</v>
      </c>
      <c r="E267" s="31">
        <f>E265*2</f>
        <v>636.78</v>
      </c>
      <c r="F267" s="39">
        <f>VLOOKUP(H267,'PROJECT SUMMARY'!$C$26:$D$32,2,0)</f>
        <v>0.05</v>
      </c>
      <c r="G267" s="31">
        <f t="shared" si="198"/>
        <v>668.61900000000003</v>
      </c>
      <c r="H267" s="16" t="s">
        <v>11</v>
      </c>
      <c r="I267" s="62">
        <v>0.04</v>
      </c>
      <c r="J267" s="80">
        <f t="shared" si="199"/>
        <v>26.744760000000003</v>
      </c>
      <c r="K267" s="23">
        <v>47.5</v>
      </c>
      <c r="L267" s="23">
        <f t="shared" si="200"/>
        <v>1270.3761000000002</v>
      </c>
      <c r="M267" s="23">
        <v>1.85</v>
      </c>
      <c r="N267" s="23">
        <f t="shared" si="201"/>
        <v>1236.94515</v>
      </c>
      <c r="O267" s="23">
        <f t="shared" si="202"/>
        <v>2507.32125</v>
      </c>
      <c r="P267" s="46"/>
    </row>
    <row r="268" spans="1:16" x14ac:dyDescent="0.25">
      <c r="A268" s="45">
        <f>IF(G268&lt;&gt;"",1+MAX($A$13:A267),"")</f>
        <v>169</v>
      </c>
      <c r="B268" s="16" t="s">
        <v>303</v>
      </c>
      <c r="C268" s="16" t="s">
        <v>49</v>
      </c>
      <c r="D268" s="59" t="s">
        <v>252</v>
      </c>
      <c r="E268" s="31">
        <f>E265</f>
        <v>318.39</v>
      </c>
      <c r="F268" s="39">
        <f>VLOOKUP(H268,'PROJECT SUMMARY'!$C$26:$D$32,2,0)</f>
        <v>0.05</v>
      </c>
      <c r="G268" s="31">
        <f t="shared" si="198"/>
        <v>334.30950000000001</v>
      </c>
      <c r="H268" s="16" t="s">
        <v>11</v>
      </c>
      <c r="I268" s="62">
        <v>0.04</v>
      </c>
      <c r="J268" s="80">
        <f t="shared" si="199"/>
        <v>13.372380000000001</v>
      </c>
      <c r="K268" s="23">
        <v>47.5</v>
      </c>
      <c r="L268" s="23">
        <f t="shared" si="200"/>
        <v>635.18805000000009</v>
      </c>
      <c r="M268" s="23">
        <v>1.85</v>
      </c>
      <c r="N268" s="23">
        <f t="shared" si="201"/>
        <v>618.47257500000001</v>
      </c>
      <c r="O268" s="23">
        <f t="shared" si="202"/>
        <v>1253.660625</v>
      </c>
      <c r="P268" s="46"/>
    </row>
    <row r="269" spans="1:16" x14ac:dyDescent="0.25">
      <c r="A269" s="45" t="str">
        <f>IF(G269&lt;&gt;"",1+MAX($A$13:A268),"")</f>
        <v/>
      </c>
      <c r="D269" s="59"/>
      <c r="I269" s="62"/>
      <c r="J269" s="80"/>
      <c r="P269" s="46"/>
    </row>
    <row r="270" spans="1:16" x14ac:dyDescent="0.25">
      <c r="A270" s="45">
        <f>IF(G270&lt;&gt;"",1+MAX($A$13:A269),"")</f>
        <v>170</v>
      </c>
      <c r="C270" s="16" t="s">
        <v>49</v>
      </c>
      <c r="D270" s="59" t="s">
        <v>69</v>
      </c>
      <c r="E270" s="31">
        <f>333*24</f>
        <v>7992</v>
      </c>
      <c r="F270" s="39">
        <f>VLOOKUP(H270,'PROJECT SUMMARY'!$C$26:$D$32,2,0)</f>
        <v>0.05</v>
      </c>
      <c r="G270" s="31">
        <f>E270*(1+F270)</f>
        <v>8391.6</v>
      </c>
      <c r="H270" s="16" t="s">
        <v>11</v>
      </c>
      <c r="I270" s="62">
        <v>1.4999999999999999E-2</v>
      </c>
      <c r="J270" s="80">
        <f>I270*G270</f>
        <v>125.874</v>
      </c>
      <c r="K270" s="23">
        <v>47.5</v>
      </c>
      <c r="L270" s="23">
        <f>K270*J270</f>
        <v>5979.0149999999994</v>
      </c>
      <c r="M270" s="23">
        <v>1.4999999999999999E-2</v>
      </c>
      <c r="N270" s="23">
        <f>M270*G270</f>
        <v>125.874</v>
      </c>
      <c r="O270" s="23">
        <f>L270+N270</f>
        <v>6104.8889999999992</v>
      </c>
      <c r="P270" s="46"/>
    </row>
    <row r="271" spans="1:16" x14ac:dyDescent="0.25">
      <c r="A271" s="45">
        <f>IF(G271&lt;&gt;"",1+MAX($A$13:A270),"")</f>
        <v>171</v>
      </c>
      <c r="C271" s="16" t="s">
        <v>49</v>
      </c>
      <c r="D271" s="59" t="s">
        <v>70</v>
      </c>
      <c r="E271" s="31">
        <f>333*0.053*32</f>
        <v>564.76800000000003</v>
      </c>
      <c r="F271" s="39">
        <f>VLOOKUP(H271,'PROJECT SUMMARY'!$C$26:$D$32,2,0)</f>
        <v>0.05</v>
      </c>
      <c r="G271" s="31">
        <f>E271*(1+F271)</f>
        <v>593.0064000000001</v>
      </c>
      <c r="H271" s="16" t="s">
        <v>14</v>
      </c>
      <c r="I271" s="62">
        <v>0.22</v>
      </c>
      <c r="J271" s="80">
        <f>I271*G271</f>
        <v>130.46140800000003</v>
      </c>
      <c r="K271" s="23">
        <v>47.5</v>
      </c>
      <c r="L271" s="23">
        <f>K271*J271</f>
        <v>6196.9168800000016</v>
      </c>
      <c r="M271" s="23">
        <v>0.66</v>
      </c>
      <c r="N271" s="23">
        <f>M271*G271</f>
        <v>391.38422400000007</v>
      </c>
      <c r="O271" s="23">
        <f>L271+N271</f>
        <v>6588.3011040000019</v>
      </c>
      <c r="P271" s="46"/>
    </row>
    <row r="272" spans="1:16" x14ac:dyDescent="0.25">
      <c r="A272" s="45">
        <f>IF(G272&lt;&gt;"",1+MAX($A$13:A271),"")</f>
        <v>172</v>
      </c>
      <c r="C272" s="16" t="s">
        <v>49</v>
      </c>
      <c r="D272" s="59" t="s">
        <v>71</v>
      </c>
      <c r="E272" s="31">
        <f>333*45</f>
        <v>14985</v>
      </c>
      <c r="F272" s="39">
        <f>VLOOKUP(H272,'PROJECT SUMMARY'!$C$26:$D$32,2,0)</f>
        <v>0</v>
      </c>
      <c r="G272" s="31">
        <f>E272*(1+F272)</f>
        <v>14985</v>
      </c>
      <c r="H272" s="16" t="s">
        <v>10</v>
      </c>
      <c r="I272" s="62">
        <v>1E-3</v>
      </c>
      <c r="J272" s="80">
        <f>I272*G272</f>
        <v>14.984999999999999</v>
      </c>
      <c r="K272" s="23">
        <v>47.5</v>
      </c>
      <c r="L272" s="23">
        <f>K272*J272</f>
        <v>711.78750000000002</v>
      </c>
      <c r="M272" s="23">
        <v>0.02</v>
      </c>
      <c r="N272" s="23">
        <f>M272*G272</f>
        <v>299.7</v>
      </c>
      <c r="O272" s="23">
        <f>L272+N272</f>
        <v>1011.4875</v>
      </c>
      <c r="P272" s="46"/>
    </row>
    <row r="273" spans="1:16" x14ac:dyDescent="0.25">
      <c r="A273" s="45" t="str">
        <f>IF(G273&lt;&gt;"",1+MAX($A$13:A272),"")</f>
        <v/>
      </c>
      <c r="D273" s="59"/>
      <c r="I273" s="62"/>
      <c r="J273" s="80"/>
      <c r="P273" s="46"/>
    </row>
    <row r="274" spans="1:16" x14ac:dyDescent="0.25">
      <c r="A274" s="45" t="str">
        <f>IF(G274&lt;&gt;"",1+MAX($A$13:A273),"")</f>
        <v/>
      </c>
      <c r="D274" s="58" t="s">
        <v>220</v>
      </c>
      <c r="I274" s="62"/>
      <c r="J274" s="80"/>
      <c r="P274" s="46"/>
    </row>
    <row r="275" spans="1:16" x14ac:dyDescent="0.25">
      <c r="A275" s="45">
        <f>IF(G275&lt;&gt;"",1+MAX($A$13:A274),"")</f>
        <v>173</v>
      </c>
      <c r="B275" s="16" t="s">
        <v>307</v>
      </c>
      <c r="C275" s="16" t="s">
        <v>49</v>
      </c>
      <c r="D275" s="10" t="s">
        <v>221</v>
      </c>
      <c r="E275" s="31">
        <v>392.52</v>
      </c>
      <c r="F275" s="39">
        <f>VLOOKUP(H275,'PROJECT SUMMARY'!$C$26:$D$32,2,0)</f>
        <v>0.05</v>
      </c>
      <c r="G275" s="31">
        <f>E275*(1+F275)</f>
        <v>412.14600000000002</v>
      </c>
      <c r="H275" s="16" t="s">
        <v>11</v>
      </c>
      <c r="I275" s="62">
        <v>0.04</v>
      </c>
      <c r="J275" s="80">
        <f t="shared" ref="J275:J276" si="203">I275*G275</f>
        <v>16.48584</v>
      </c>
      <c r="K275" s="23">
        <v>47.5</v>
      </c>
      <c r="L275" s="23">
        <f t="shared" ref="L275:L276" si="204">K275*J275</f>
        <v>783.07740000000001</v>
      </c>
      <c r="M275" s="23">
        <v>1.85</v>
      </c>
      <c r="N275" s="23">
        <f>M275*G275</f>
        <v>762.47010000000012</v>
      </c>
      <c r="O275" s="23">
        <f>L275+N275</f>
        <v>1545.5475000000001</v>
      </c>
      <c r="P275" s="46"/>
    </row>
    <row r="276" spans="1:16" x14ac:dyDescent="0.25">
      <c r="A276" s="45">
        <f>IF(G276&lt;&gt;"",1+MAX($A$13:A275),"")</f>
        <v>174</v>
      </c>
      <c r="B276" s="16" t="s">
        <v>307</v>
      </c>
      <c r="C276" s="16" t="s">
        <v>49</v>
      </c>
      <c r="D276" s="10" t="s">
        <v>222</v>
      </c>
      <c r="E276" s="31">
        <v>973.28</v>
      </c>
      <c r="F276" s="39">
        <f>VLOOKUP(H276,'PROJECT SUMMARY'!$C$26:$D$32,2,0)</f>
        <v>0.05</v>
      </c>
      <c r="G276" s="31">
        <f>E276*(1+F276)</f>
        <v>1021.944</v>
      </c>
      <c r="H276" s="16" t="s">
        <v>11</v>
      </c>
      <c r="I276" s="62">
        <v>0.04</v>
      </c>
      <c r="J276" s="80">
        <f t="shared" si="203"/>
        <v>40.877760000000002</v>
      </c>
      <c r="K276" s="23">
        <v>47.5</v>
      </c>
      <c r="L276" s="23">
        <f t="shared" si="204"/>
        <v>1941.6936000000001</v>
      </c>
      <c r="M276" s="23">
        <v>1.85</v>
      </c>
      <c r="N276" s="23">
        <f>M276*G276</f>
        <v>1890.5963999999999</v>
      </c>
      <c r="O276" s="23">
        <f>L276+N276</f>
        <v>3832.29</v>
      </c>
      <c r="P276" s="46"/>
    </row>
    <row r="277" spans="1:16" x14ac:dyDescent="0.25">
      <c r="A277" s="45" t="str">
        <f>IF(G277&lt;&gt;"",1+MAX($A$13:A276),"")</f>
        <v/>
      </c>
      <c r="D277" s="59"/>
      <c r="E277" s="10"/>
      <c r="I277" s="62"/>
      <c r="J277" s="80"/>
      <c r="P277" s="46"/>
    </row>
    <row r="278" spans="1:16" x14ac:dyDescent="0.25">
      <c r="A278" s="45" t="str">
        <f>IF(G278&lt;&gt;"",1+MAX($A$13:A277),"")</f>
        <v/>
      </c>
      <c r="D278" s="58" t="s">
        <v>54</v>
      </c>
      <c r="I278" s="62"/>
      <c r="J278" s="80"/>
      <c r="P278" s="46"/>
    </row>
    <row r="279" spans="1:16" x14ac:dyDescent="0.25">
      <c r="A279" s="45">
        <f>IF(G279&lt;&gt;"",1+MAX($A$13:A278),"")</f>
        <v>175</v>
      </c>
      <c r="B279" s="16" t="s">
        <v>303</v>
      </c>
      <c r="C279" s="16" t="s">
        <v>49</v>
      </c>
      <c r="D279" s="10" t="s">
        <v>227</v>
      </c>
      <c r="E279" s="31">
        <f>1988.7/32</f>
        <v>62.146875000000001</v>
      </c>
      <c r="F279" s="39">
        <f>VLOOKUP(H279,'PROJECT SUMMARY'!$C$26:$D$32,2,0)</f>
        <v>0</v>
      </c>
      <c r="G279" s="31">
        <f>E279*(1+F279)</f>
        <v>62.146875000000001</v>
      </c>
      <c r="H279" s="16" t="s">
        <v>10</v>
      </c>
      <c r="I279" s="62">
        <v>0.35</v>
      </c>
      <c r="J279" s="80">
        <f>I279*G279</f>
        <v>21.751406249999999</v>
      </c>
      <c r="K279" s="23">
        <v>47.5</v>
      </c>
      <c r="L279" s="23">
        <f>K279*J279</f>
        <v>1033.1917968749999</v>
      </c>
      <c r="M279" s="23">
        <v>9.6</v>
      </c>
      <c r="N279" s="23">
        <f>M279*G279</f>
        <v>596.61</v>
      </c>
      <c r="O279" s="23">
        <f>L279+N279</f>
        <v>1629.801796875</v>
      </c>
      <c r="P279" s="46"/>
    </row>
    <row r="280" spans="1:16" x14ac:dyDescent="0.25">
      <c r="A280" s="45">
        <f>IF(G280&lt;&gt;"",1+MAX($A$13:A279),"")</f>
        <v>176</v>
      </c>
      <c r="B280" s="16" t="s">
        <v>303</v>
      </c>
      <c r="C280" s="16" t="s">
        <v>42</v>
      </c>
      <c r="D280" s="10" t="s">
        <v>228</v>
      </c>
      <c r="E280" s="31">
        <f>199.31/32</f>
        <v>6.2284375000000001</v>
      </c>
      <c r="F280" s="39">
        <f>VLOOKUP(H280,'PROJECT SUMMARY'!$C$26:$D$32,2,0)</f>
        <v>0</v>
      </c>
      <c r="G280" s="31">
        <f t="shared" ref="G280" si="205">E280*(1+F280)</f>
        <v>6.2284375000000001</v>
      </c>
      <c r="H280" s="16" t="s">
        <v>10</v>
      </c>
      <c r="I280" s="62">
        <v>0.35</v>
      </c>
      <c r="J280" s="71">
        <f t="shared" ref="J280:J281" si="206">I280*G280</f>
        <v>2.1799531249999999</v>
      </c>
      <c r="K280" s="23">
        <v>47.5</v>
      </c>
      <c r="L280" s="23">
        <f t="shared" ref="L280:L281" si="207">K280*J280</f>
        <v>103.5477734375</v>
      </c>
      <c r="M280" s="23">
        <v>12.16</v>
      </c>
      <c r="N280" s="23">
        <f t="shared" ref="N280:N281" si="208">M280*G280</f>
        <v>75.737800000000007</v>
      </c>
      <c r="O280" s="23">
        <f t="shared" ref="O280:O281" si="209">L280+N280</f>
        <v>179.28557343750001</v>
      </c>
      <c r="P280" s="46"/>
    </row>
    <row r="281" spans="1:16" x14ac:dyDescent="0.25">
      <c r="A281" s="45">
        <f>IF(G281&lt;&gt;"",1+MAX($A$13:A280),"")</f>
        <v>177</v>
      </c>
      <c r="B281" s="16" t="s">
        <v>303</v>
      </c>
      <c r="C281" s="16" t="s">
        <v>49</v>
      </c>
      <c r="D281" s="10" t="s">
        <v>229</v>
      </c>
      <c r="E281" s="31">
        <f>460.64/32</f>
        <v>14.395</v>
      </c>
      <c r="F281" s="39">
        <f>VLOOKUP(H281,'PROJECT SUMMARY'!$C$26:$D$32,2,0)</f>
        <v>0</v>
      </c>
      <c r="G281" s="31">
        <f t="shared" ref="G281" si="210">E281*(1+F281)</f>
        <v>14.395</v>
      </c>
      <c r="H281" s="16" t="s">
        <v>10</v>
      </c>
      <c r="I281" s="62">
        <v>0.35</v>
      </c>
      <c r="J281" s="80">
        <f t="shared" si="206"/>
        <v>5.0382499999999997</v>
      </c>
      <c r="K281" s="23">
        <v>47.5</v>
      </c>
      <c r="L281" s="23">
        <f t="shared" si="207"/>
        <v>239.31687499999998</v>
      </c>
      <c r="M281" s="23">
        <v>12.16</v>
      </c>
      <c r="N281" s="23">
        <f t="shared" si="208"/>
        <v>175.04319999999998</v>
      </c>
      <c r="O281" s="23">
        <f t="shared" si="209"/>
        <v>414.36007499999994</v>
      </c>
      <c r="P281" s="46"/>
    </row>
    <row r="282" spans="1:16" x14ac:dyDescent="0.25">
      <c r="A282" s="45" t="str">
        <f>IF(G282&lt;&gt;"",1+MAX($A$13:A281),"")</f>
        <v/>
      </c>
      <c r="I282" s="62"/>
      <c r="J282" s="80"/>
      <c r="P282" s="46"/>
    </row>
    <row r="283" spans="1:16" x14ac:dyDescent="0.25">
      <c r="A283" s="45">
        <f>IF(G283&lt;&gt;"",1+MAX($A$13:A282),"")</f>
        <v>178</v>
      </c>
      <c r="C283" s="16" t="s">
        <v>49</v>
      </c>
      <c r="D283" s="10" t="s">
        <v>226</v>
      </c>
      <c r="E283" s="31">
        <f>2648.65/1.33</f>
        <v>1991.4661654135339</v>
      </c>
      <c r="F283" s="39">
        <f>VLOOKUP(H283,'PROJECT SUMMARY'!$C$26:$D$32,2,0)</f>
        <v>0.05</v>
      </c>
      <c r="G283" s="31">
        <f>E283*(1+F283)</f>
        <v>2091.0394736842109</v>
      </c>
      <c r="H283" s="16" t="s">
        <v>11</v>
      </c>
      <c r="I283" s="62">
        <v>3.5000000000000003E-2</v>
      </c>
      <c r="J283" s="80">
        <f t="shared" ref="J283" si="211">I283*G283</f>
        <v>73.18638157894739</v>
      </c>
      <c r="K283" s="23">
        <v>47.5</v>
      </c>
      <c r="L283" s="23">
        <f t="shared" ref="L283" si="212">K283*J283</f>
        <v>3476.353125000001</v>
      </c>
      <c r="M283" s="23">
        <v>0.88</v>
      </c>
      <c r="N283" s="23">
        <f>M283*G283</f>
        <v>1840.1147368421055</v>
      </c>
      <c r="O283" s="23">
        <f>L283+N283</f>
        <v>5316.4678618421067</v>
      </c>
      <c r="P283" s="46"/>
    </row>
    <row r="284" spans="1:16" x14ac:dyDescent="0.25">
      <c r="A284" s="45" t="str">
        <f>IF(G284&lt;&gt;"",1+MAX($A$13:A283),"")</f>
        <v/>
      </c>
      <c r="I284" s="62"/>
      <c r="J284" s="80"/>
      <c r="P284" s="46"/>
    </row>
    <row r="285" spans="1:16" x14ac:dyDescent="0.25">
      <c r="A285" s="45" t="str">
        <f>IF(G285&lt;&gt;"",1+MAX($A$13:A284),"")</f>
        <v/>
      </c>
      <c r="D285" s="58" t="s">
        <v>52</v>
      </c>
      <c r="I285" s="62"/>
      <c r="J285" s="80"/>
      <c r="P285" s="46"/>
    </row>
    <row r="286" spans="1:16" x14ac:dyDescent="0.25">
      <c r="A286" s="45">
        <f>IF(G286&lt;&gt;"",1+MAX($A$13:A285),"")</f>
        <v>179</v>
      </c>
      <c r="B286" s="16" t="s">
        <v>303</v>
      </c>
      <c r="C286" s="16" t="s">
        <v>49</v>
      </c>
      <c r="D286" s="10" t="s">
        <v>223</v>
      </c>
      <c r="E286" s="31">
        <v>2028.88</v>
      </c>
      <c r="F286" s="39">
        <f>VLOOKUP(H286,'PROJECT SUMMARY'!$C$26:$D$32,2,0)</f>
        <v>0.05</v>
      </c>
      <c r="G286" s="31">
        <f>E286*(1+F286)</f>
        <v>2130.3240000000001</v>
      </c>
      <c r="H286" s="16" t="s">
        <v>12</v>
      </c>
      <c r="I286" s="62">
        <v>0.04</v>
      </c>
      <c r="J286" s="80">
        <f>I286*G286</f>
        <v>85.21296000000001</v>
      </c>
      <c r="K286" s="23">
        <v>87.25</v>
      </c>
      <c r="L286" s="23">
        <f>K286*J286</f>
        <v>7434.8307600000007</v>
      </c>
      <c r="M286" s="23">
        <v>6.25</v>
      </c>
      <c r="N286" s="23">
        <f>M286*G286</f>
        <v>13314.525</v>
      </c>
      <c r="O286" s="23">
        <f>L286+N286</f>
        <v>20749.355759999999</v>
      </c>
      <c r="P286" s="46"/>
    </row>
    <row r="287" spans="1:16" x14ac:dyDescent="0.25">
      <c r="A287" s="45">
        <f>IF(G287&lt;&gt;"",1+MAX($A$13:A286),"")</f>
        <v>180</v>
      </c>
      <c r="B287" s="16" t="s">
        <v>303</v>
      </c>
      <c r="C287" s="16" t="s">
        <v>49</v>
      </c>
      <c r="D287" s="10" t="s">
        <v>224</v>
      </c>
      <c r="E287" s="31">
        <v>516.08000000000004</v>
      </c>
      <c r="F287" s="39">
        <f>VLOOKUP(H287,'PROJECT SUMMARY'!$C$26:$D$32,2,0)</f>
        <v>0.05</v>
      </c>
      <c r="G287" s="31">
        <f t="shared" ref="G287" si="213">E287*(1+F287)</f>
        <v>541.88400000000001</v>
      </c>
      <c r="H287" s="16" t="s">
        <v>12</v>
      </c>
      <c r="I287" s="62">
        <v>0.1</v>
      </c>
      <c r="J287" s="80">
        <f t="shared" ref="J287" si="214">I287*G287</f>
        <v>54.188400000000001</v>
      </c>
      <c r="K287" s="23">
        <v>87.25</v>
      </c>
      <c r="L287" s="23">
        <f t="shared" ref="L287" si="215">K287*J287</f>
        <v>4727.9378999999999</v>
      </c>
      <c r="M287" s="23">
        <v>2.5</v>
      </c>
      <c r="N287" s="23">
        <f t="shared" ref="N287" si="216">M287*G287</f>
        <v>1354.71</v>
      </c>
      <c r="O287" s="23">
        <f t="shared" ref="O287" si="217">L287+N287</f>
        <v>6082.6478999999999</v>
      </c>
      <c r="P287" s="46"/>
    </row>
    <row r="288" spans="1:16" x14ac:dyDescent="0.25">
      <c r="A288" s="45" t="str">
        <f>IF(G288&lt;&gt;"",1+MAX($A$13:A287),"")</f>
        <v/>
      </c>
      <c r="D288" s="59"/>
      <c r="I288" s="62"/>
      <c r="J288" s="80"/>
      <c r="P288" s="46"/>
    </row>
    <row r="289" spans="1:16" x14ac:dyDescent="0.25">
      <c r="A289" s="45" t="str">
        <f>IF(G289&lt;&gt;"",1+MAX($A$13:A288),"")</f>
        <v/>
      </c>
      <c r="D289" s="58" t="s">
        <v>53</v>
      </c>
      <c r="I289" s="62"/>
      <c r="J289" s="80"/>
      <c r="P289" s="46"/>
    </row>
    <row r="290" spans="1:16" x14ac:dyDescent="0.25">
      <c r="A290" s="45">
        <f>IF(G290&lt;&gt;"",1+MAX($A$13:A289),"")</f>
        <v>181</v>
      </c>
      <c r="B290" s="16" t="s">
        <v>303</v>
      </c>
      <c r="C290" s="16" t="s">
        <v>49</v>
      </c>
      <c r="D290" s="10" t="s">
        <v>225</v>
      </c>
      <c r="E290" s="31">
        <v>202.15</v>
      </c>
      <c r="F290" s="39">
        <f>VLOOKUP(H290,'PROJECT SUMMARY'!$C$26:$D$32,2,0)</f>
        <v>0.05</v>
      </c>
      <c r="G290" s="31">
        <f>E290*(1+F290)</f>
        <v>212.25750000000002</v>
      </c>
      <c r="H290" s="16" t="s">
        <v>12</v>
      </c>
      <c r="I290" s="62">
        <v>0.09</v>
      </c>
      <c r="J290" s="80">
        <f>I290*G290</f>
        <v>19.103175</v>
      </c>
      <c r="K290" s="23">
        <v>87.25</v>
      </c>
      <c r="L290" s="23">
        <f>K290*J290</f>
        <v>1666.7520187499999</v>
      </c>
      <c r="M290" s="23">
        <v>8.5</v>
      </c>
      <c r="N290" s="23">
        <f>M290*G290</f>
        <v>1804.1887500000003</v>
      </c>
      <c r="O290" s="23">
        <f>L290+N290</f>
        <v>3470.9407687500002</v>
      </c>
      <c r="P290" s="46"/>
    </row>
    <row r="291" spans="1:16" x14ac:dyDescent="0.25">
      <c r="A291" s="45" t="str">
        <f>IF(G291&lt;&gt;"",1+MAX($A$13:A290),"")</f>
        <v/>
      </c>
      <c r="D291" s="59"/>
      <c r="I291" s="62"/>
      <c r="J291" s="80"/>
      <c r="P291" s="46"/>
    </row>
    <row r="292" spans="1:16" x14ac:dyDescent="0.25">
      <c r="A292" s="45" t="str">
        <f>IF(G292&lt;&gt;"",1+MAX($A$13:A291),"")</f>
        <v/>
      </c>
      <c r="D292" s="58" t="s">
        <v>56</v>
      </c>
      <c r="I292" s="62"/>
      <c r="J292" s="80"/>
      <c r="P292" s="46"/>
    </row>
    <row r="293" spans="1:16" x14ac:dyDescent="0.25">
      <c r="A293" s="45">
        <f>IF(G293&lt;&gt;"",1+MAX($A$13:A292),"")</f>
        <v>182</v>
      </c>
      <c r="B293" s="16" t="s">
        <v>303</v>
      </c>
      <c r="C293" s="16" t="s">
        <v>49</v>
      </c>
      <c r="D293" s="10" t="s">
        <v>231</v>
      </c>
      <c r="E293" s="31">
        <f>99.1*10.083</f>
        <v>999.22529999999995</v>
      </c>
      <c r="F293" s="39">
        <f>VLOOKUP(H293,'PROJECT SUMMARY'!$C$26:$D$32,2,0)</f>
        <v>0.05</v>
      </c>
      <c r="G293" s="31">
        <f>E293*(1+F293)</f>
        <v>1049.186565</v>
      </c>
      <c r="H293" s="16" t="s">
        <v>12</v>
      </c>
      <c r="I293" s="62">
        <v>0.09</v>
      </c>
      <c r="J293" s="80">
        <f>I293*G293</f>
        <v>94.426790849999989</v>
      </c>
      <c r="K293" s="23">
        <v>87.25</v>
      </c>
      <c r="L293" s="23">
        <f>K293*J293</f>
        <v>8238.7375016624992</v>
      </c>
      <c r="M293" s="23">
        <v>8.5</v>
      </c>
      <c r="N293" s="23">
        <f>M293*G293</f>
        <v>8918.0858024999998</v>
      </c>
      <c r="O293" s="23">
        <f>L293+N293</f>
        <v>17156.823304162499</v>
      </c>
      <c r="P293" s="46"/>
    </row>
    <row r="294" spans="1:16" x14ac:dyDescent="0.25">
      <c r="A294" s="45" t="str">
        <f>IF(G294&lt;&gt;"",1+MAX($A$13:A293),"")</f>
        <v/>
      </c>
      <c r="I294" s="62"/>
      <c r="J294" s="80"/>
      <c r="P294" s="46"/>
    </row>
    <row r="295" spans="1:16" x14ac:dyDescent="0.25">
      <c r="A295" s="45" t="str">
        <f>IF(G295&lt;&gt;"",1+MAX($A$13:A294),"")</f>
        <v/>
      </c>
      <c r="D295" s="58" t="s">
        <v>55</v>
      </c>
      <c r="I295" s="62"/>
      <c r="J295" s="80"/>
      <c r="P295" s="46"/>
    </row>
    <row r="296" spans="1:16" x14ac:dyDescent="0.25">
      <c r="A296" s="45">
        <f>IF(G296&lt;&gt;"",1+MAX($A$13:A295),"")</f>
        <v>183</v>
      </c>
      <c r="B296" s="16" t="s">
        <v>303</v>
      </c>
      <c r="C296" s="16" t="s">
        <v>49</v>
      </c>
      <c r="D296" s="10" t="s">
        <v>230</v>
      </c>
      <c r="E296" s="31">
        <v>437</v>
      </c>
      <c r="F296" s="39">
        <f>VLOOKUP(H296,'PROJECT SUMMARY'!$C$26:$D$32,2,0)</f>
        <v>0.05</v>
      </c>
      <c r="G296" s="31">
        <f t="shared" ref="G296" si="218">E296*(1+F296)</f>
        <v>458.85</v>
      </c>
      <c r="H296" s="16" t="s">
        <v>11</v>
      </c>
      <c r="I296" s="62">
        <v>2.5000000000000001E-2</v>
      </c>
      <c r="J296" s="80">
        <f t="shared" ref="J296" si="219">I296*G296</f>
        <v>11.471250000000001</v>
      </c>
      <c r="K296" s="23">
        <v>87.25</v>
      </c>
      <c r="L296" s="23">
        <f t="shared" ref="L296" si="220">K296*J296</f>
        <v>1000.8665625000001</v>
      </c>
      <c r="M296" s="23">
        <v>1.55</v>
      </c>
      <c r="N296" s="23">
        <f t="shared" ref="N296" si="221">M296*G296</f>
        <v>711.21750000000009</v>
      </c>
      <c r="O296" s="23">
        <f t="shared" ref="O296" si="222">L296+N296</f>
        <v>1712.0840625000001</v>
      </c>
      <c r="P296" s="46"/>
    </row>
    <row r="297" spans="1:16" x14ac:dyDescent="0.25">
      <c r="A297" s="45" t="str">
        <f>IF(G297&lt;&gt;"",1+MAX($A$13:A296),"")</f>
        <v/>
      </c>
      <c r="D297" s="59"/>
      <c r="I297" s="62"/>
      <c r="J297" s="80"/>
      <c r="P297" s="46"/>
    </row>
    <row r="298" spans="1:16" ht="18.75" x14ac:dyDescent="0.25">
      <c r="A298" s="45" t="str">
        <f>IF(G298&lt;&gt;"",1+MAX($A$13:A297),"")</f>
        <v/>
      </c>
      <c r="D298" s="78" t="s">
        <v>45</v>
      </c>
      <c r="I298" s="62"/>
      <c r="J298" s="80"/>
      <c r="P298" s="46"/>
    </row>
    <row r="299" spans="1:16" x14ac:dyDescent="0.25">
      <c r="A299" s="45" t="str">
        <f>IF(G299&lt;&gt;"",1+MAX($A$13:A298),"")</f>
        <v/>
      </c>
      <c r="D299" s="59"/>
      <c r="I299" s="62"/>
      <c r="J299" s="80"/>
      <c r="P299" s="46"/>
    </row>
    <row r="300" spans="1:16" x14ac:dyDescent="0.25">
      <c r="A300" s="45" t="str">
        <f>IF(G300&lt;&gt;"",1+MAX($A$13:A299),"")</f>
        <v/>
      </c>
      <c r="D300" s="58" t="s">
        <v>60</v>
      </c>
      <c r="I300" s="62"/>
      <c r="J300" s="80"/>
      <c r="P300" s="46"/>
    </row>
    <row r="301" spans="1:16" x14ac:dyDescent="0.25">
      <c r="A301" s="45">
        <f>IF(G301&lt;&gt;"",1+MAX($A$13:A300),"")</f>
        <v>184</v>
      </c>
      <c r="B301" s="16" t="s">
        <v>303</v>
      </c>
      <c r="C301" s="16" t="s">
        <v>49</v>
      </c>
      <c r="D301" s="10" t="s">
        <v>274</v>
      </c>
      <c r="E301" s="31">
        <v>6787.0110000000004</v>
      </c>
      <c r="F301" s="39">
        <f>VLOOKUP(H301,'PROJECT SUMMARY'!$C$26:$D$32,2,0)</f>
        <v>0.05</v>
      </c>
      <c r="G301" s="31">
        <f>E301*(1+F301)</f>
        <v>7126.3615500000005</v>
      </c>
      <c r="H301" s="16" t="s">
        <v>12</v>
      </c>
      <c r="I301" s="62">
        <v>0.02</v>
      </c>
      <c r="J301" s="80">
        <f>I301*G301</f>
        <v>142.527231</v>
      </c>
      <c r="K301" s="23">
        <v>35</v>
      </c>
      <c r="L301" s="23">
        <f>K301*J301</f>
        <v>4988.4530850000001</v>
      </c>
      <c r="M301" s="23">
        <v>0.35</v>
      </c>
      <c r="N301" s="23">
        <f>M301*G301</f>
        <v>2494.2265425000001</v>
      </c>
      <c r="O301" s="23">
        <f>L301+N301</f>
        <v>7482.6796274999997</v>
      </c>
      <c r="P301" s="46"/>
    </row>
    <row r="302" spans="1:16" x14ac:dyDescent="0.25">
      <c r="A302" s="45" t="str">
        <f>IF(G302&lt;&gt;"",1+MAX($A$13:A301),"")</f>
        <v/>
      </c>
      <c r="D302" s="59"/>
      <c r="I302" s="62"/>
      <c r="J302" s="80"/>
      <c r="P302" s="46"/>
    </row>
    <row r="303" spans="1:16" x14ac:dyDescent="0.25">
      <c r="A303" s="45" t="str">
        <f>IF(G303&lt;&gt;"",1+MAX($A$13:A302),"")</f>
        <v/>
      </c>
      <c r="D303" s="58" t="s">
        <v>72</v>
      </c>
      <c r="I303" s="62"/>
      <c r="J303" s="80"/>
      <c r="P303" s="46"/>
    </row>
    <row r="304" spans="1:16" x14ac:dyDescent="0.25">
      <c r="A304" s="45">
        <f>IF(G304&lt;&gt;"",1+MAX($A$13:A303),"")</f>
        <v>185</v>
      </c>
      <c r="B304" s="16" t="s">
        <v>303</v>
      </c>
      <c r="C304" s="16" t="s">
        <v>49</v>
      </c>
      <c r="D304" s="10" t="s">
        <v>275</v>
      </c>
      <c r="E304" s="31">
        <v>2648.65</v>
      </c>
      <c r="F304" s="39">
        <f>VLOOKUP(H304,'PROJECT SUMMARY'!$C$26:$D$32,2,0)</f>
        <v>0.05</v>
      </c>
      <c r="G304" s="31">
        <f>E304*(1+F304)</f>
        <v>2781.0825000000004</v>
      </c>
      <c r="H304" s="16" t="s">
        <v>12</v>
      </c>
      <c r="I304" s="62">
        <v>0.02</v>
      </c>
      <c r="J304" s="80">
        <f>I304*G304</f>
        <v>55.62165000000001</v>
      </c>
      <c r="K304" s="23">
        <v>35</v>
      </c>
      <c r="L304" s="23">
        <f>K304*J304</f>
        <v>1946.7577500000004</v>
      </c>
      <c r="M304" s="23">
        <v>0.4</v>
      </c>
      <c r="N304" s="23">
        <f>M304*G304</f>
        <v>1112.4330000000002</v>
      </c>
      <c r="O304" s="23">
        <f>L304+N304</f>
        <v>3059.1907500000007</v>
      </c>
      <c r="P304" s="46"/>
    </row>
    <row r="305" spans="1:16" x14ac:dyDescent="0.25">
      <c r="A305" s="45" t="str">
        <f>IF(G305&lt;&gt;"",1+MAX($A$13:A304),"")</f>
        <v/>
      </c>
      <c r="D305" s="59"/>
      <c r="I305" s="62"/>
      <c r="J305" s="80"/>
      <c r="P305" s="46"/>
    </row>
    <row r="306" spans="1:16" x14ac:dyDescent="0.25">
      <c r="A306" s="45" t="str">
        <f>IF(G306&lt;&gt;"",1+MAX($A$13:A305),"")</f>
        <v/>
      </c>
      <c r="D306" s="58" t="s">
        <v>73</v>
      </c>
      <c r="I306" s="62"/>
      <c r="J306" s="80"/>
      <c r="P306" s="46"/>
    </row>
    <row r="307" spans="1:16" x14ac:dyDescent="0.25">
      <c r="A307" s="45">
        <f>IF(G307&lt;&gt;"",1+MAX($A$13:A306),"")</f>
        <v>186</v>
      </c>
      <c r="B307" s="16" t="s">
        <v>303</v>
      </c>
      <c r="C307" s="16" t="s">
        <v>49</v>
      </c>
      <c r="D307" s="10" t="s">
        <v>232</v>
      </c>
      <c r="E307" s="31">
        <v>1</v>
      </c>
      <c r="F307" s="39">
        <f>VLOOKUP(H307,'PROJECT SUMMARY'!$C$26:$D$32,2,0)</f>
        <v>0</v>
      </c>
      <c r="G307" s="31">
        <f t="shared" ref="G307:G317" si="223">E307*(1+F307)</f>
        <v>1</v>
      </c>
      <c r="H307" s="16" t="s">
        <v>10</v>
      </c>
      <c r="I307" s="62">
        <v>0.83648</v>
      </c>
      <c r="J307" s="71">
        <f t="shared" ref="J307:J317" si="224">I307*G307</f>
        <v>0.83648</v>
      </c>
      <c r="K307" s="23">
        <v>35</v>
      </c>
      <c r="L307" s="23">
        <f t="shared" ref="L307:L317" si="225">K307*J307</f>
        <v>29.276800000000001</v>
      </c>
      <c r="M307" s="23">
        <v>20.911999999999999</v>
      </c>
      <c r="N307" s="23">
        <f t="shared" ref="N307:N317" si="226">M307*G307</f>
        <v>20.911999999999999</v>
      </c>
      <c r="O307" s="23">
        <f t="shared" ref="O307:O317" si="227">L307+N307</f>
        <v>50.188800000000001</v>
      </c>
      <c r="P307" s="46"/>
    </row>
    <row r="308" spans="1:16" x14ac:dyDescent="0.25">
      <c r="A308" s="45">
        <f>IF(G308&lt;&gt;"",1+MAX($A$13:A307),"")</f>
        <v>187</v>
      </c>
      <c r="B308" s="16" t="s">
        <v>303</v>
      </c>
      <c r="C308" s="16" t="s">
        <v>49</v>
      </c>
      <c r="D308" s="10" t="s">
        <v>233</v>
      </c>
      <c r="E308" s="31">
        <v>2</v>
      </c>
      <c r="F308" s="39">
        <f>VLOOKUP(H308,'PROJECT SUMMARY'!$C$26:$D$32,2,0)</f>
        <v>0</v>
      </c>
      <c r="G308" s="31">
        <f t="shared" si="223"/>
        <v>2</v>
      </c>
      <c r="H308" s="16" t="s">
        <v>10</v>
      </c>
      <c r="I308" s="62">
        <v>0.88</v>
      </c>
      <c r="J308" s="71">
        <f t="shared" si="224"/>
        <v>1.76</v>
      </c>
      <c r="K308" s="23">
        <v>35</v>
      </c>
      <c r="L308" s="23">
        <f t="shared" si="225"/>
        <v>61.6</v>
      </c>
      <c r="M308" s="23">
        <v>22</v>
      </c>
      <c r="N308" s="23">
        <f t="shared" si="226"/>
        <v>44</v>
      </c>
      <c r="O308" s="23">
        <f t="shared" si="227"/>
        <v>105.6</v>
      </c>
      <c r="P308" s="46"/>
    </row>
    <row r="309" spans="1:16" x14ac:dyDescent="0.25">
      <c r="A309" s="45">
        <f>IF(G309&lt;&gt;"",1+MAX($A$13:A308),"")</f>
        <v>188</v>
      </c>
      <c r="B309" s="16" t="s">
        <v>303</v>
      </c>
      <c r="C309" s="16" t="s">
        <v>49</v>
      </c>
      <c r="D309" s="10" t="s">
        <v>234</v>
      </c>
      <c r="E309" s="31">
        <v>3</v>
      </c>
      <c r="F309" s="39">
        <f>VLOOKUP(H309,'PROJECT SUMMARY'!$C$26:$D$32,2,0)</f>
        <v>0</v>
      </c>
      <c r="G309" s="31">
        <f t="shared" si="223"/>
        <v>3</v>
      </c>
      <c r="H309" s="16" t="s">
        <v>10</v>
      </c>
      <c r="I309" s="62">
        <v>0.88</v>
      </c>
      <c r="J309" s="71">
        <f t="shared" si="224"/>
        <v>2.64</v>
      </c>
      <c r="K309" s="23">
        <v>35</v>
      </c>
      <c r="L309" s="23">
        <f t="shared" si="225"/>
        <v>92.4</v>
      </c>
      <c r="M309" s="23">
        <v>22</v>
      </c>
      <c r="N309" s="23">
        <f t="shared" si="226"/>
        <v>66</v>
      </c>
      <c r="O309" s="23">
        <f t="shared" si="227"/>
        <v>158.4</v>
      </c>
      <c r="P309" s="46"/>
    </row>
    <row r="310" spans="1:16" x14ac:dyDescent="0.25">
      <c r="A310" s="45">
        <f>IF(G310&lt;&gt;"",1+MAX($A$13:A309),"")</f>
        <v>189</v>
      </c>
      <c r="B310" s="16" t="s">
        <v>303</v>
      </c>
      <c r="C310" s="16" t="s">
        <v>49</v>
      </c>
      <c r="D310" s="10" t="s">
        <v>235</v>
      </c>
      <c r="E310" s="31">
        <v>1</v>
      </c>
      <c r="F310" s="39">
        <f>VLOOKUP(H310,'PROJECT SUMMARY'!$C$26:$D$32,2,0)</f>
        <v>0</v>
      </c>
      <c r="G310" s="31">
        <f t="shared" si="223"/>
        <v>1</v>
      </c>
      <c r="H310" s="16" t="s">
        <v>10</v>
      </c>
      <c r="I310" s="62">
        <v>0.92352000000000001</v>
      </c>
      <c r="J310" s="71">
        <f t="shared" si="224"/>
        <v>0.92352000000000001</v>
      </c>
      <c r="K310" s="23">
        <v>35</v>
      </c>
      <c r="L310" s="23">
        <f t="shared" si="225"/>
        <v>32.3232</v>
      </c>
      <c r="M310" s="23">
        <v>23.088000000000001</v>
      </c>
      <c r="N310" s="23">
        <f t="shared" si="226"/>
        <v>23.088000000000001</v>
      </c>
      <c r="O310" s="23">
        <f t="shared" si="227"/>
        <v>55.411200000000001</v>
      </c>
      <c r="P310" s="46"/>
    </row>
    <row r="311" spans="1:16" x14ac:dyDescent="0.25">
      <c r="A311" s="45">
        <f>IF(G311&lt;&gt;"",1+MAX($A$13:A310),"")</f>
        <v>190</v>
      </c>
      <c r="B311" s="16" t="s">
        <v>303</v>
      </c>
      <c r="C311" s="16" t="s">
        <v>49</v>
      </c>
      <c r="D311" s="10" t="s">
        <v>235</v>
      </c>
      <c r="E311" s="31">
        <v>2</v>
      </c>
      <c r="F311" s="39">
        <f>VLOOKUP(H311,'PROJECT SUMMARY'!$C$26:$D$32,2,0)</f>
        <v>0</v>
      </c>
      <c r="G311" s="31">
        <f t="shared" si="223"/>
        <v>2</v>
      </c>
      <c r="H311" s="16" t="s">
        <v>10</v>
      </c>
      <c r="I311" s="62">
        <v>0.92352000000000001</v>
      </c>
      <c r="J311" s="71">
        <f t="shared" si="224"/>
        <v>1.84704</v>
      </c>
      <c r="K311" s="23">
        <v>35</v>
      </c>
      <c r="L311" s="23">
        <f t="shared" si="225"/>
        <v>64.6464</v>
      </c>
      <c r="M311" s="23">
        <v>23.088000000000001</v>
      </c>
      <c r="N311" s="23">
        <f t="shared" si="226"/>
        <v>46.176000000000002</v>
      </c>
      <c r="O311" s="23">
        <f t="shared" si="227"/>
        <v>110.8224</v>
      </c>
      <c r="P311" s="46"/>
    </row>
    <row r="312" spans="1:16" x14ac:dyDescent="0.25">
      <c r="A312" s="45">
        <f>IF(G312&lt;&gt;"",1+MAX($A$13:A311),"")</f>
        <v>191</v>
      </c>
      <c r="B312" s="16" t="s">
        <v>303</v>
      </c>
      <c r="C312" s="16" t="s">
        <v>49</v>
      </c>
      <c r="D312" s="10" t="s">
        <v>236</v>
      </c>
      <c r="E312" s="31">
        <v>1</v>
      </c>
      <c r="F312" s="39">
        <f>VLOOKUP(H312,'PROJECT SUMMARY'!$C$26:$D$32,2,0)</f>
        <v>0</v>
      </c>
      <c r="G312" s="31">
        <f t="shared" si="223"/>
        <v>1</v>
      </c>
      <c r="H312" s="16" t="s">
        <v>10</v>
      </c>
      <c r="I312" s="62">
        <v>0.92352000000000001</v>
      </c>
      <c r="J312" s="71">
        <f t="shared" si="224"/>
        <v>0.92352000000000001</v>
      </c>
      <c r="K312" s="23">
        <v>35</v>
      </c>
      <c r="L312" s="23">
        <f t="shared" si="225"/>
        <v>32.3232</v>
      </c>
      <c r="M312" s="23">
        <v>23.088000000000001</v>
      </c>
      <c r="N312" s="23">
        <f t="shared" si="226"/>
        <v>23.088000000000001</v>
      </c>
      <c r="O312" s="23">
        <f t="shared" si="227"/>
        <v>55.411200000000001</v>
      </c>
      <c r="P312" s="46"/>
    </row>
    <row r="313" spans="1:16" x14ac:dyDescent="0.25">
      <c r="A313" s="45">
        <f>IF(G313&lt;&gt;"",1+MAX($A$13:A312),"")</f>
        <v>192</v>
      </c>
      <c r="B313" s="16" t="s">
        <v>303</v>
      </c>
      <c r="C313" s="16" t="s">
        <v>49</v>
      </c>
      <c r="D313" s="10" t="s">
        <v>237</v>
      </c>
      <c r="E313" s="31">
        <v>1</v>
      </c>
      <c r="F313" s="39">
        <f>VLOOKUP(H313,'PROJECT SUMMARY'!$C$26:$D$32,2,0)</f>
        <v>0</v>
      </c>
      <c r="G313" s="31">
        <f t="shared" si="223"/>
        <v>1</v>
      </c>
      <c r="H313" s="16" t="s">
        <v>10</v>
      </c>
      <c r="I313" s="62">
        <v>1.0080000000000002</v>
      </c>
      <c r="J313" s="71">
        <f t="shared" si="224"/>
        <v>1.0080000000000002</v>
      </c>
      <c r="K313" s="23">
        <v>35</v>
      </c>
      <c r="L313" s="23">
        <f t="shared" si="225"/>
        <v>35.280000000000008</v>
      </c>
      <c r="M313" s="23">
        <v>25.200000000000003</v>
      </c>
      <c r="N313" s="23">
        <f t="shared" si="226"/>
        <v>25.200000000000003</v>
      </c>
      <c r="O313" s="23">
        <f t="shared" si="227"/>
        <v>60.480000000000011</v>
      </c>
      <c r="P313" s="46"/>
    </row>
    <row r="314" spans="1:16" x14ac:dyDescent="0.25">
      <c r="A314" s="45">
        <f>IF(G314&lt;&gt;"",1+MAX($A$13:A313),"")</f>
        <v>193</v>
      </c>
      <c r="B314" s="16" t="s">
        <v>303</v>
      </c>
      <c r="C314" s="16" t="s">
        <v>49</v>
      </c>
      <c r="D314" s="10" t="s">
        <v>237</v>
      </c>
      <c r="E314" s="31">
        <v>2</v>
      </c>
      <c r="F314" s="39">
        <f>VLOOKUP(H314,'PROJECT SUMMARY'!$C$26:$D$32,2,0)</f>
        <v>0</v>
      </c>
      <c r="G314" s="31">
        <f t="shared" si="223"/>
        <v>2</v>
      </c>
      <c r="H314" s="16" t="s">
        <v>10</v>
      </c>
      <c r="I314" s="62">
        <v>1.0080000000000002</v>
      </c>
      <c r="J314" s="71">
        <f t="shared" si="224"/>
        <v>2.0160000000000005</v>
      </c>
      <c r="K314" s="23">
        <v>35</v>
      </c>
      <c r="L314" s="23">
        <f t="shared" si="225"/>
        <v>70.560000000000016</v>
      </c>
      <c r="M314" s="23">
        <v>25.200000000000003</v>
      </c>
      <c r="N314" s="23">
        <f t="shared" si="226"/>
        <v>50.400000000000006</v>
      </c>
      <c r="O314" s="23">
        <f t="shared" si="227"/>
        <v>120.96000000000002</v>
      </c>
      <c r="P314" s="46"/>
    </row>
    <row r="315" spans="1:16" x14ac:dyDescent="0.25">
      <c r="A315" s="45">
        <f>IF(G315&lt;&gt;"",1+MAX($A$13:A314),"")</f>
        <v>194</v>
      </c>
      <c r="B315" s="16" t="s">
        <v>303</v>
      </c>
      <c r="C315" s="16" t="s">
        <v>49</v>
      </c>
      <c r="D315" s="10" t="s">
        <v>238</v>
      </c>
      <c r="E315" s="31">
        <v>1</v>
      </c>
      <c r="F315" s="39">
        <f>VLOOKUP(H315,'PROJECT SUMMARY'!$C$26:$D$32,2,0)</f>
        <v>0</v>
      </c>
      <c r="G315" s="31">
        <f t="shared" si="223"/>
        <v>1</v>
      </c>
      <c r="H315" s="16" t="s">
        <v>10</v>
      </c>
      <c r="I315" s="62">
        <v>1.264</v>
      </c>
      <c r="J315" s="71">
        <f t="shared" si="224"/>
        <v>1.264</v>
      </c>
      <c r="K315" s="23">
        <v>35</v>
      </c>
      <c r="L315" s="23">
        <f t="shared" si="225"/>
        <v>44.24</v>
      </c>
      <c r="M315" s="23">
        <v>31.6</v>
      </c>
      <c r="N315" s="23">
        <f t="shared" si="226"/>
        <v>31.6</v>
      </c>
      <c r="O315" s="23">
        <f t="shared" si="227"/>
        <v>75.84</v>
      </c>
      <c r="P315" s="46"/>
    </row>
    <row r="316" spans="1:16" x14ac:dyDescent="0.25">
      <c r="A316" s="45">
        <f>IF(G316&lt;&gt;"",1+MAX($A$13:A315),"")</f>
        <v>195</v>
      </c>
      <c r="B316" s="16" t="s">
        <v>303</v>
      </c>
      <c r="C316" s="16" t="s">
        <v>49</v>
      </c>
      <c r="D316" s="10" t="s">
        <v>239</v>
      </c>
      <c r="E316" s="31">
        <v>2</v>
      </c>
      <c r="F316" s="39">
        <f>VLOOKUP(H316,'PROJECT SUMMARY'!$C$26:$D$32,2,0)</f>
        <v>0</v>
      </c>
      <c r="G316" s="31">
        <f t="shared" si="223"/>
        <v>2</v>
      </c>
      <c r="H316" s="16" t="s">
        <v>10</v>
      </c>
      <c r="I316" s="62">
        <v>1.7760000000000002</v>
      </c>
      <c r="J316" s="71">
        <f t="shared" si="224"/>
        <v>3.5520000000000005</v>
      </c>
      <c r="K316" s="23">
        <v>35</v>
      </c>
      <c r="L316" s="23">
        <f t="shared" si="225"/>
        <v>124.32000000000002</v>
      </c>
      <c r="M316" s="23">
        <v>44.400000000000006</v>
      </c>
      <c r="N316" s="23">
        <f t="shared" si="226"/>
        <v>88.800000000000011</v>
      </c>
      <c r="O316" s="23">
        <f t="shared" si="227"/>
        <v>213.12000000000003</v>
      </c>
      <c r="P316" s="46"/>
    </row>
    <row r="317" spans="1:16" x14ac:dyDescent="0.25">
      <c r="A317" s="45">
        <f>IF(G317&lt;&gt;"",1+MAX($A$13:A316),"")</f>
        <v>196</v>
      </c>
      <c r="B317" s="16" t="s">
        <v>303</v>
      </c>
      <c r="C317" s="16" t="s">
        <v>49</v>
      </c>
      <c r="D317" s="10" t="s">
        <v>240</v>
      </c>
      <c r="E317" s="31">
        <v>1</v>
      </c>
      <c r="F317" s="39">
        <f>VLOOKUP(H317,'PROJECT SUMMARY'!$C$26:$D$32,2,0)</f>
        <v>0</v>
      </c>
      <c r="G317" s="31">
        <f t="shared" si="223"/>
        <v>1</v>
      </c>
      <c r="H317" s="16" t="s">
        <v>10</v>
      </c>
      <c r="I317" s="62">
        <v>1.52</v>
      </c>
      <c r="J317" s="71">
        <f t="shared" si="224"/>
        <v>1.52</v>
      </c>
      <c r="K317" s="23">
        <v>35</v>
      </c>
      <c r="L317" s="23">
        <f t="shared" si="225"/>
        <v>53.2</v>
      </c>
      <c r="M317" s="23">
        <v>38</v>
      </c>
      <c r="N317" s="23">
        <f t="shared" si="226"/>
        <v>38</v>
      </c>
      <c r="O317" s="23">
        <f t="shared" si="227"/>
        <v>91.2</v>
      </c>
      <c r="P317" s="46"/>
    </row>
    <row r="318" spans="1:16" x14ac:dyDescent="0.25">
      <c r="A318" s="45">
        <f>IF(G318&lt;&gt;"",1+MAX($A$13:A317),"")</f>
        <v>197</v>
      </c>
      <c r="B318" s="16" t="s">
        <v>303</v>
      </c>
      <c r="C318" s="16" t="s">
        <v>49</v>
      </c>
      <c r="D318" s="10" t="s">
        <v>241</v>
      </c>
      <c r="E318" s="31">
        <v>1</v>
      </c>
      <c r="F318" s="39">
        <f>VLOOKUP(H318,'PROJECT SUMMARY'!$C$26:$D$32,2,0)</f>
        <v>0</v>
      </c>
      <c r="G318" s="31">
        <f>E318*(1+F318)</f>
        <v>1</v>
      </c>
      <c r="H318" s="16" t="s">
        <v>10</v>
      </c>
      <c r="I318" s="62">
        <v>1.4000000000000001</v>
      </c>
      <c r="J318" s="71">
        <f>I318*G318</f>
        <v>1.4000000000000001</v>
      </c>
      <c r="K318" s="23">
        <v>35</v>
      </c>
      <c r="L318" s="23">
        <f>K318*J318</f>
        <v>49.000000000000007</v>
      </c>
      <c r="M318" s="23">
        <v>70</v>
      </c>
      <c r="N318" s="23">
        <f>M318*G318</f>
        <v>70</v>
      </c>
      <c r="O318" s="23">
        <f>L318+N318</f>
        <v>119</v>
      </c>
      <c r="P318" s="46"/>
    </row>
    <row r="319" spans="1:16" x14ac:dyDescent="0.25">
      <c r="A319" s="45">
        <f>IF(G319&lt;&gt;"",1+MAX($A$13:A318),"")</f>
        <v>198</v>
      </c>
      <c r="B319" s="16" t="s">
        <v>303</v>
      </c>
      <c r="C319" s="16" t="s">
        <v>49</v>
      </c>
      <c r="D319" s="10" t="s">
        <v>242</v>
      </c>
      <c r="E319" s="31">
        <v>1</v>
      </c>
      <c r="F319" s="39">
        <f>VLOOKUP(H319,'PROJECT SUMMARY'!$C$26:$D$32,2,0)</f>
        <v>0</v>
      </c>
      <c r="G319" s="31">
        <f>E319*(1+F319)</f>
        <v>1</v>
      </c>
      <c r="H319" s="16" t="s">
        <v>10</v>
      </c>
      <c r="I319" s="62">
        <v>1.6560000000000004</v>
      </c>
      <c r="J319" s="71">
        <f>I319*G319</f>
        <v>1.6560000000000004</v>
      </c>
      <c r="K319" s="23">
        <v>35</v>
      </c>
      <c r="L319" s="23">
        <f>K319*J319</f>
        <v>57.960000000000015</v>
      </c>
      <c r="M319" s="23">
        <v>82.800000000000011</v>
      </c>
      <c r="N319" s="23">
        <f>M319*G319</f>
        <v>82.800000000000011</v>
      </c>
      <c r="O319" s="23">
        <f>L319+N319</f>
        <v>140.76000000000002</v>
      </c>
      <c r="P319" s="46"/>
    </row>
    <row r="320" spans="1:16" x14ac:dyDescent="0.25">
      <c r="A320" s="45">
        <f>IF(G320&lt;&gt;"",1+MAX($A$13:A319),"")</f>
        <v>199</v>
      </c>
      <c r="B320" s="16" t="s">
        <v>303</v>
      </c>
      <c r="C320" s="16" t="s">
        <v>49</v>
      </c>
      <c r="D320" s="10" t="s">
        <v>243</v>
      </c>
      <c r="E320" s="31">
        <v>1</v>
      </c>
      <c r="F320" s="39">
        <f>VLOOKUP(H320,'PROJECT SUMMARY'!$C$26:$D$32,2,0)</f>
        <v>0</v>
      </c>
      <c r="G320" s="31">
        <f>E320*(1+F320)</f>
        <v>1</v>
      </c>
      <c r="H320" s="16" t="s">
        <v>10</v>
      </c>
      <c r="I320" s="62">
        <v>1.9120000000000001</v>
      </c>
      <c r="J320" s="71">
        <f>I320*G320</f>
        <v>1.9120000000000001</v>
      </c>
      <c r="K320" s="23">
        <v>35</v>
      </c>
      <c r="L320" s="23">
        <f>K320*J320</f>
        <v>66.92</v>
      </c>
      <c r="M320" s="23">
        <v>95.600000000000009</v>
      </c>
      <c r="N320" s="23">
        <f>M320*G320</f>
        <v>95.600000000000009</v>
      </c>
      <c r="O320" s="23">
        <f>L320+N320</f>
        <v>162.52000000000001</v>
      </c>
      <c r="P320" s="46"/>
    </row>
    <row r="321" spans="1:16" x14ac:dyDescent="0.25">
      <c r="A321" s="45">
        <f>IF(G321&lt;&gt;"",1+MAX($A$13:A320),"")</f>
        <v>200</v>
      </c>
      <c r="B321" s="16" t="s">
        <v>303</v>
      </c>
      <c r="C321" s="16" t="s">
        <v>49</v>
      </c>
      <c r="D321" s="10" t="s">
        <v>244</v>
      </c>
      <c r="E321" s="31">
        <v>1</v>
      </c>
      <c r="F321" s="39">
        <f>VLOOKUP(H321,'PROJECT SUMMARY'!$C$26:$D$32,2,0)</f>
        <v>0</v>
      </c>
      <c r="G321" s="31">
        <f>E321*(1+F321)</f>
        <v>1</v>
      </c>
      <c r="H321" s="16" t="s">
        <v>10</v>
      </c>
      <c r="I321" s="62">
        <v>2.1680000000000001</v>
      </c>
      <c r="J321" s="71">
        <f>I321*G321</f>
        <v>2.1680000000000001</v>
      </c>
      <c r="K321" s="23">
        <v>35</v>
      </c>
      <c r="L321" s="23">
        <f>K321*J321</f>
        <v>75.88000000000001</v>
      </c>
      <c r="M321" s="23">
        <v>108.4</v>
      </c>
      <c r="N321" s="23">
        <f>M321*G321</f>
        <v>108.4</v>
      </c>
      <c r="O321" s="23">
        <f>L321+N321</f>
        <v>184.28000000000003</v>
      </c>
      <c r="P321" s="46"/>
    </row>
    <row r="322" spans="1:16" x14ac:dyDescent="0.25">
      <c r="A322" s="45" t="str">
        <f>IF(G322&lt;&gt;"",1+MAX($A$13:A321),"")</f>
        <v/>
      </c>
      <c r="D322" s="59"/>
      <c r="I322" s="62"/>
      <c r="J322" s="80"/>
      <c r="P322" s="46"/>
    </row>
    <row r="323" spans="1:16" x14ac:dyDescent="0.25">
      <c r="A323" s="45" t="str">
        <f>IF(G323&lt;&gt;"",1+MAX($A$13:A322),"")</f>
        <v/>
      </c>
      <c r="D323" s="58" t="s">
        <v>90</v>
      </c>
      <c r="I323" s="62"/>
      <c r="J323" s="80"/>
      <c r="P323" s="46"/>
    </row>
    <row r="324" spans="1:16" x14ac:dyDescent="0.25">
      <c r="A324" s="45">
        <f>IF(G324&lt;&gt;"",1+MAX($A$13:A323),"")</f>
        <v>201</v>
      </c>
      <c r="B324" s="16" t="s">
        <v>303</v>
      </c>
      <c r="C324" s="16" t="s">
        <v>49</v>
      </c>
      <c r="D324" s="10" t="s">
        <v>245</v>
      </c>
      <c r="E324" s="31">
        <v>392.52</v>
      </c>
      <c r="F324" s="39">
        <f>VLOOKUP(H324,'PROJECT SUMMARY'!$C$26:$D$32,2,0)</f>
        <v>0.05</v>
      </c>
      <c r="G324" s="31">
        <f>E324*(1+F324)</f>
        <v>412.14600000000002</v>
      </c>
      <c r="H324" s="16" t="s">
        <v>11</v>
      </c>
      <c r="I324" s="62">
        <v>2.1999999999999999E-2</v>
      </c>
      <c r="J324" s="80">
        <f t="shared" ref="J324:J325" si="228">I324*G324</f>
        <v>9.0672119999999996</v>
      </c>
      <c r="K324" s="23">
        <v>35</v>
      </c>
      <c r="L324" s="23">
        <f t="shared" ref="L324:L325" si="229">K324*J324</f>
        <v>317.35242</v>
      </c>
      <c r="M324" s="23">
        <v>0.8</v>
      </c>
      <c r="N324" s="23">
        <f>M324*G324</f>
        <v>329.71680000000003</v>
      </c>
      <c r="O324" s="23">
        <f>L324+N324</f>
        <v>647.06922000000009</v>
      </c>
      <c r="P324" s="46"/>
    </row>
    <row r="325" spans="1:16" x14ac:dyDescent="0.25">
      <c r="A325" s="45">
        <f>IF(G325&lt;&gt;"",1+MAX($A$13:A324),"")</f>
        <v>202</v>
      </c>
      <c r="B325" s="16" t="s">
        <v>303</v>
      </c>
      <c r="C325" s="16" t="s">
        <v>49</v>
      </c>
      <c r="D325" s="10" t="s">
        <v>246</v>
      </c>
      <c r="E325" s="31">
        <v>973.28</v>
      </c>
      <c r="F325" s="39">
        <f>VLOOKUP(H325,'PROJECT SUMMARY'!$C$26:$D$32,2,0)</f>
        <v>0.05</v>
      </c>
      <c r="G325" s="31">
        <f>E325*(1+F325)</f>
        <v>1021.944</v>
      </c>
      <c r="H325" s="16" t="s">
        <v>11</v>
      </c>
      <c r="I325" s="62">
        <v>2.1999999999999999E-2</v>
      </c>
      <c r="J325" s="80">
        <f t="shared" si="228"/>
        <v>22.482767999999997</v>
      </c>
      <c r="K325" s="23">
        <v>35</v>
      </c>
      <c r="L325" s="23">
        <f t="shared" si="229"/>
        <v>786.8968799999999</v>
      </c>
      <c r="M325" s="23">
        <v>0.8</v>
      </c>
      <c r="N325" s="23">
        <f>M325*G325</f>
        <v>817.55520000000001</v>
      </c>
      <c r="O325" s="23">
        <f>L325+N325</f>
        <v>1604.45208</v>
      </c>
      <c r="P325" s="46"/>
    </row>
    <row r="326" spans="1:16" x14ac:dyDescent="0.25">
      <c r="A326" s="45" t="str">
        <f>IF(G326&lt;&gt;"",1+MAX($A$13:A325),"")</f>
        <v/>
      </c>
      <c r="D326" s="59"/>
      <c r="I326" s="62"/>
      <c r="J326" s="80"/>
      <c r="P326" s="46"/>
    </row>
    <row r="327" spans="1:16" x14ac:dyDescent="0.25">
      <c r="A327" s="45" t="str">
        <f>IF(G327&lt;&gt;"",1+MAX($A$13:A326),"")</f>
        <v/>
      </c>
      <c r="D327" s="58" t="s">
        <v>247</v>
      </c>
      <c r="I327" s="62"/>
      <c r="J327" s="80"/>
      <c r="P327" s="46"/>
    </row>
    <row r="328" spans="1:16" x14ac:dyDescent="0.25">
      <c r="A328" s="45">
        <f>IF(G328&lt;&gt;"",1+MAX($A$13:A327),"")</f>
        <v>203</v>
      </c>
      <c r="B328" s="16" t="s">
        <v>307</v>
      </c>
      <c r="C328" s="16" t="s">
        <v>49</v>
      </c>
      <c r="D328" s="10" t="s">
        <v>213</v>
      </c>
      <c r="E328" s="31">
        <f>2013.65+591.57</f>
        <v>2605.2200000000003</v>
      </c>
      <c r="F328" s="39">
        <f>VLOOKUP(H328,'PROJECT SUMMARY'!$C$26:$D$32,2,0)</f>
        <v>0.05</v>
      </c>
      <c r="G328" s="31">
        <f>E328*(1+F328)</f>
        <v>2735.4810000000002</v>
      </c>
      <c r="H328" s="16" t="s">
        <v>12</v>
      </c>
      <c r="I328" s="62">
        <v>3.2000000000000001E-2</v>
      </c>
      <c r="J328" s="80">
        <f>I328*G328</f>
        <v>87.535392000000016</v>
      </c>
      <c r="K328" s="23">
        <v>35</v>
      </c>
      <c r="L328" s="23">
        <f>K328*J328</f>
        <v>3063.7387200000007</v>
      </c>
      <c r="M328" s="23">
        <v>0.6</v>
      </c>
      <c r="N328" s="23">
        <f>M328*G328</f>
        <v>1641.2886000000001</v>
      </c>
      <c r="O328" s="23">
        <f>L328+N328</f>
        <v>4705.0273200000011</v>
      </c>
      <c r="P328" s="46"/>
    </row>
    <row r="329" spans="1:16" x14ac:dyDescent="0.25">
      <c r="A329" s="45">
        <f>IF(G329&lt;&gt;"",1+MAX($A$13:A328),"")</f>
        <v>204</v>
      </c>
      <c r="B329" s="16" t="s">
        <v>307</v>
      </c>
      <c r="C329" s="16" t="s">
        <v>49</v>
      </c>
      <c r="D329" s="10" t="s">
        <v>215</v>
      </c>
      <c r="E329" s="31">
        <v>123.71</v>
      </c>
      <c r="F329" s="39">
        <f>VLOOKUP(H329,'PROJECT SUMMARY'!$C$26:$D$32,2,0)</f>
        <v>0.05</v>
      </c>
      <c r="G329" s="31">
        <f t="shared" ref="G329:G333" si="230">E329*(1+F329)</f>
        <v>129.8955</v>
      </c>
      <c r="H329" s="16" t="s">
        <v>12</v>
      </c>
      <c r="I329" s="62">
        <v>3.2000000000000001E-2</v>
      </c>
      <c r="J329" s="80">
        <f t="shared" ref="J329:J333" si="231">I329*G329</f>
        <v>4.1566559999999999</v>
      </c>
      <c r="K329" s="23">
        <v>35</v>
      </c>
      <c r="L329" s="23">
        <f t="shared" ref="L329:L333" si="232">K329*J329</f>
        <v>145.48295999999999</v>
      </c>
      <c r="M329" s="23">
        <v>0.6</v>
      </c>
      <c r="N329" s="23">
        <f t="shared" ref="N329:N333" si="233">M329*G329</f>
        <v>77.937299999999993</v>
      </c>
      <c r="O329" s="23">
        <f t="shared" ref="O329:O333" si="234">L329+N329</f>
        <v>223.42025999999998</v>
      </c>
      <c r="P329" s="46"/>
    </row>
    <row r="330" spans="1:16" x14ac:dyDescent="0.25">
      <c r="A330" s="45">
        <f>IF(G330&lt;&gt;"",1+MAX($A$13:A329),"")</f>
        <v>205</v>
      </c>
      <c r="B330" s="16" t="s">
        <v>307</v>
      </c>
      <c r="C330" s="16" t="s">
        <v>49</v>
      </c>
      <c r="D330" s="10" t="s">
        <v>216</v>
      </c>
      <c r="E330" s="31">
        <v>1140.31</v>
      </c>
      <c r="F330" s="39">
        <f>VLOOKUP(H330,'PROJECT SUMMARY'!$C$26:$D$32,2,0)</f>
        <v>0.05</v>
      </c>
      <c r="G330" s="31">
        <f t="shared" si="230"/>
        <v>1197.3254999999999</v>
      </c>
      <c r="H330" s="16" t="s">
        <v>12</v>
      </c>
      <c r="I330" s="62">
        <v>3.2000000000000001E-2</v>
      </c>
      <c r="J330" s="80">
        <f t="shared" si="231"/>
        <v>38.314416000000001</v>
      </c>
      <c r="K330" s="23">
        <v>35</v>
      </c>
      <c r="L330" s="23">
        <f t="shared" si="232"/>
        <v>1341.0045600000001</v>
      </c>
      <c r="M330" s="23">
        <v>0.6</v>
      </c>
      <c r="N330" s="23">
        <f t="shared" si="233"/>
        <v>718.39529999999991</v>
      </c>
      <c r="O330" s="23">
        <f t="shared" si="234"/>
        <v>2059.39986</v>
      </c>
      <c r="P330" s="46"/>
    </row>
    <row r="331" spans="1:16" x14ac:dyDescent="0.25">
      <c r="A331" s="45" t="str">
        <f>IF(G331&lt;&gt;"",1+MAX($A$13:A330),"")</f>
        <v/>
      </c>
      <c r="I331" s="62"/>
      <c r="J331" s="80"/>
      <c r="P331" s="46"/>
    </row>
    <row r="332" spans="1:16" x14ac:dyDescent="0.25">
      <c r="A332" s="45">
        <f>IF(G332&lt;&gt;"",1+MAX($A$13:A331),"")</f>
        <v>206</v>
      </c>
      <c r="B332" s="16" t="s">
        <v>307</v>
      </c>
      <c r="C332" s="16" t="s">
        <v>49</v>
      </c>
      <c r="D332" s="10" t="s">
        <v>218</v>
      </c>
      <c r="E332" s="31">
        <v>309.13</v>
      </c>
      <c r="F332" s="39">
        <f>VLOOKUP(H332,'PROJECT SUMMARY'!$C$26:$D$32,2,0)</f>
        <v>0.05</v>
      </c>
      <c r="G332" s="31">
        <f t="shared" si="230"/>
        <v>324.5865</v>
      </c>
      <c r="H332" s="16" t="s">
        <v>11</v>
      </c>
      <c r="I332" s="62">
        <v>2.5000000000000001E-2</v>
      </c>
      <c r="J332" s="80">
        <f t="shared" si="231"/>
        <v>8.1146624999999997</v>
      </c>
      <c r="K332" s="23">
        <v>35</v>
      </c>
      <c r="L332" s="23">
        <f t="shared" si="232"/>
        <v>284.01318750000002</v>
      </c>
      <c r="M332" s="23">
        <v>1.1000000000000001</v>
      </c>
      <c r="N332" s="23">
        <f t="shared" si="233"/>
        <v>357.04515000000004</v>
      </c>
      <c r="O332" s="23">
        <f t="shared" si="234"/>
        <v>641.05833750000011</v>
      </c>
      <c r="P332" s="46"/>
    </row>
    <row r="333" spans="1:16" x14ac:dyDescent="0.25">
      <c r="A333" s="45">
        <f>IF(G333&lt;&gt;"",1+MAX($A$13:A332),"")</f>
        <v>207</v>
      </c>
      <c r="B333" s="16" t="s">
        <v>307</v>
      </c>
      <c r="C333" s="16" t="s">
        <v>49</v>
      </c>
      <c r="D333" s="10" t="s">
        <v>219</v>
      </c>
      <c r="E333" s="31">
        <v>61.86</v>
      </c>
      <c r="F333" s="39">
        <f>VLOOKUP(H333,'PROJECT SUMMARY'!$C$26:$D$32,2,0)</f>
        <v>0.05</v>
      </c>
      <c r="G333" s="31">
        <f t="shared" si="230"/>
        <v>64.953000000000003</v>
      </c>
      <c r="H333" s="16" t="s">
        <v>11</v>
      </c>
      <c r="I333" s="62">
        <v>2.5000000000000001E-2</v>
      </c>
      <c r="J333" s="80">
        <f t="shared" si="231"/>
        <v>1.6238250000000001</v>
      </c>
      <c r="K333" s="23">
        <v>35</v>
      </c>
      <c r="L333" s="23">
        <f t="shared" si="232"/>
        <v>56.833875000000006</v>
      </c>
      <c r="M333" s="23">
        <v>1.1000000000000001</v>
      </c>
      <c r="N333" s="23">
        <f t="shared" si="233"/>
        <v>71.448300000000003</v>
      </c>
      <c r="O333" s="23">
        <f t="shared" si="234"/>
        <v>128.282175</v>
      </c>
      <c r="P333" s="46"/>
    </row>
    <row r="334" spans="1:16" ht="16.5" thickBot="1" x14ac:dyDescent="0.3">
      <c r="A334" s="45" t="str">
        <f>IF(G334&lt;&gt;"",1+MAX($A$13:A333),"")</f>
        <v/>
      </c>
      <c r="E334" s="10"/>
      <c r="P334" s="46"/>
    </row>
    <row r="335" spans="1:16" ht="16.5" thickBot="1" x14ac:dyDescent="0.3">
      <c r="A335" s="87" t="str">
        <f>IF(G335&lt;&gt;"",1+MAX($A$13:A334),"")</f>
        <v/>
      </c>
      <c r="B335" s="83"/>
      <c r="C335" s="83" t="s">
        <v>57</v>
      </c>
      <c r="D335" s="81" t="s">
        <v>59</v>
      </c>
      <c r="E335" s="85"/>
      <c r="F335" s="86"/>
      <c r="G335" s="85"/>
      <c r="H335" s="85"/>
      <c r="I335" s="81"/>
      <c r="J335" s="81"/>
      <c r="K335" s="82"/>
      <c r="L335" s="82"/>
      <c r="M335" s="82"/>
      <c r="N335" s="82"/>
      <c r="O335" s="84"/>
      <c r="P335" s="88">
        <f>SUM(O336:O346)</f>
        <v>5205.9266250000001</v>
      </c>
    </row>
    <row r="336" spans="1:16" x14ac:dyDescent="0.25">
      <c r="A336" s="45" t="str">
        <f>IF(G336&lt;&gt;"",1+MAX($A$13:A335),"")</f>
        <v/>
      </c>
      <c r="P336" s="46"/>
    </row>
    <row r="337" spans="1:16" x14ac:dyDescent="0.25">
      <c r="A337" s="16" t="str">
        <f>IF(G337&lt;&gt;"",1+MAX($A$13:A336),"")</f>
        <v/>
      </c>
      <c r="D337" s="58" t="s">
        <v>76</v>
      </c>
      <c r="P337" s="46"/>
    </row>
    <row r="338" spans="1:16" x14ac:dyDescent="0.25">
      <c r="A338" s="45">
        <f>IF(G338&lt;&gt;"",1+MAX($A$13:A337),"")</f>
        <v>208</v>
      </c>
      <c r="B338" s="16" t="s">
        <v>303</v>
      </c>
      <c r="C338" s="16" t="s">
        <v>57</v>
      </c>
      <c r="D338" s="10" t="s">
        <v>179</v>
      </c>
      <c r="E338" s="31">
        <v>5</v>
      </c>
      <c r="F338" s="39">
        <f>VLOOKUP(H338,'PROJECT SUMMARY'!$C$26:$D$32,2,0)</f>
        <v>0</v>
      </c>
      <c r="G338" s="31">
        <f>E338*(1+F338)</f>
        <v>5</v>
      </c>
      <c r="H338" s="16" t="s">
        <v>10</v>
      </c>
      <c r="I338" s="62">
        <v>2.66</v>
      </c>
      <c r="J338" s="80">
        <f>I338*G338</f>
        <v>13.3</v>
      </c>
      <c r="K338" s="23">
        <v>55</v>
      </c>
      <c r="L338" s="23">
        <f>K338*J338</f>
        <v>731.5</v>
      </c>
      <c r="M338" s="23">
        <v>166</v>
      </c>
      <c r="N338" s="23">
        <f>M338*G338</f>
        <v>830</v>
      </c>
      <c r="O338" s="23">
        <f>L338+N338</f>
        <v>1561.5</v>
      </c>
      <c r="P338" s="46"/>
    </row>
    <row r="339" spans="1:16" x14ac:dyDescent="0.25">
      <c r="A339" s="45">
        <f>IF(G339&lt;&gt;"",1+MAX($A$13:A338),"")</f>
        <v>209</v>
      </c>
      <c r="B339" s="16" t="s">
        <v>303</v>
      </c>
      <c r="C339" s="16" t="s">
        <v>57</v>
      </c>
      <c r="D339" s="10" t="s">
        <v>180</v>
      </c>
      <c r="E339" s="31">
        <v>4</v>
      </c>
      <c r="F339" s="39">
        <f>VLOOKUP(H339,'PROJECT SUMMARY'!$C$26:$D$32,2,0)</f>
        <v>0</v>
      </c>
      <c r="G339" s="31">
        <f t="shared" ref="G339:G346" si="235">E339*(1+F339)</f>
        <v>4</v>
      </c>
      <c r="H339" s="16" t="s">
        <v>10</v>
      </c>
      <c r="I339" s="62">
        <v>1.1499999999999999</v>
      </c>
      <c r="J339" s="80">
        <f t="shared" ref="J339:J346" si="236">I339*G339</f>
        <v>4.5999999999999996</v>
      </c>
      <c r="K339" s="23">
        <v>55</v>
      </c>
      <c r="L339" s="23">
        <f t="shared" ref="L339:L346" si="237">K339*J339</f>
        <v>252.99999999999997</v>
      </c>
      <c r="M339" s="23">
        <v>28</v>
      </c>
      <c r="N339" s="23">
        <f t="shared" ref="N339:N346" si="238">M339*G339</f>
        <v>112</v>
      </c>
      <c r="O339" s="23">
        <f t="shared" ref="O339:O346" si="239">L339+N339</f>
        <v>365</v>
      </c>
      <c r="P339" s="46"/>
    </row>
    <row r="340" spans="1:16" x14ac:dyDescent="0.25">
      <c r="A340" s="45">
        <f>IF(G340&lt;&gt;"",1+MAX($A$13:A339),"")</f>
        <v>210</v>
      </c>
      <c r="B340" s="16" t="s">
        <v>303</v>
      </c>
      <c r="C340" s="16" t="s">
        <v>57</v>
      </c>
      <c r="D340" s="10" t="s">
        <v>181</v>
      </c>
      <c r="E340" s="31">
        <v>4</v>
      </c>
      <c r="F340" s="39">
        <f>VLOOKUP(H340,'PROJECT SUMMARY'!$C$26:$D$32,2,0)</f>
        <v>0</v>
      </c>
      <c r="G340" s="31">
        <f t="shared" si="235"/>
        <v>4</v>
      </c>
      <c r="H340" s="16" t="s">
        <v>10</v>
      </c>
      <c r="I340" s="62">
        <v>1.22</v>
      </c>
      <c r="J340" s="80">
        <f t="shared" si="236"/>
        <v>4.88</v>
      </c>
      <c r="K340" s="23">
        <v>55</v>
      </c>
      <c r="L340" s="23">
        <f t="shared" si="237"/>
        <v>268.39999999999998</v>
      </c>
      <c r="M340" s="23">
        <v>35.5</v>
      </c>
      <c r="N340" s="23">
        <f t="shared" si="238"/>
        <v>142</v>
      </c>
      <c r="O340" s="23">
        <f t="shared" si="239"/>
        <v>410.4</v>
      </c>
      <c r="P340" s="46"/>
    </row>
    <row r="341" spans="1:16" x14ac:dyDescent="0.25">
      <c r="A341" s="45">
        <f>IF(G341&lt;&gt;"",1+MAX($A$13:A340),"")</f>
        <v>211</v>
      </c>
      <c r="B341" s="16" t="s">
        <v>303</v>
      </c>
      <c r="C341" s="16" t="s">
        <v>57</v>
      </c>
      <c r="D341" s="10" t="s">
        <v>182</v>
      </c>
      <c r="E341" s="31">
        <v>4</v>
      </c>
      <c r="F341" s="39">
        <f>VLOOKUP(H341,'PROJECT SUMMARY'!$C$26:$D$32,2,0)</f>
        <v>0</v>
      </c>
      <c r="G341" s="31">
        <f t="shared" si="235"/>
        <v>4</v>
      </c>
      <c r="H341" s="16" t="s">
        <v>10</v>
      </c>
      <c r="I341" s="62">
        <v>1.33</v>
      </c>
      <c r="J341" s="80">
        <f t="shared" si="236"/>
        <v>5.32</v>
      </c>
      <c r="K341" s="23">
        <v>55</v>
      </c>
      <c r="L341" s="23">
        <f t="shared" si="237"/>
        <v>292.60000000000002</v>
      </c>
      <c r="M341" s="23">
        <v>41.99</v>
      </c>
      <c r="N341" s="23">
        <f t="shared" si="238"/>
        <v>167.96</v>
      </c>
      <c r="O341" s="23">
        <f t="shared" si="239"/>
        <v>460.56000000000006</v>
      </c>
      <c r="P341" s="46"/>
    </row>
    <row r="342" spans="1:16" x14ac:dyDescent="0.25">
      <c r="A342" s="45">
        <f>IF(G342&lt;&gt;"",1+MAX($A$13:A341),"")</f>
        <v>212</v>
      </c>
      <c r="B342" s="16" t="s">
        <v>303</v>
      </c>
      <c r="C342" s="16" t="s">
        <v>57</v>
      </c>
      <c r="D342" s="10" t="s">
        <v>183</v>
      </c>
      <c r="E342" s="31">
        <v>5</v>
      </c>
      <c r="F342" s="39">
        <f>VLOOKUP(H342,'PROJECT SUMMARY'!$C$26:$D$32,2,0)</f>
        <v>0</v>
      </c>
      <c r="G342" s="31">
        <f t="shared" si="235"/>
        <v>5</v>
      </c>
      <c r="H342" s="16" t="s">
        <v>10</v>
      </c>
      <c r="I342" s="62">
        <v>0.95</v>
      </c>
      <c r="J342" s="80">
        <f t="shared" si="236"/>
        <v>4.75</v>
      </c>
      <c r="K342" s="23">
        <v>55</v>
      </c>
      <c r="L342" s="23">
        <f t="shared" si="237"/>
        <v>261.25</v>
      </c>
      <c r="M342" s="23">
        <v>85.5</v>
      </c>
      <c r="N342" s="23">
        <f t="shared" si="238"/>
        <v>427.5</v>
      </c>
      <c r="O342" s="23">
        <f t="shared" si="239"/>
        <v>688.75</v>
      </c>
      <c r="P342" s="46"/>
    </row>
    <row r="343" spans="1:16" x14ac:dyDescent="0.25">
      <c r="A343" s="45">
        <f>IF(G343&lt;&gt;"",1+MAX($A$13:A342),"")</f>
        <v>213</v>
      </c>
      <c r="B343" s="16" t="s">
        <v>303</v>
      </c>
      <c r="C343" s="16" t="s">
        <v>57</v>
      </c>
      <c r="D343" s="10" t="s">
        <v>184</v>
      </c>
      <c r="E343" s="31">
        <v>3</v>
      </c>
      <c r="F343" s="39">
        <f>VLOOKUP(H343,'PROJECT SUMMARY'!$C$26:$D$32,2,0)</f>
        <v>0</v>
      </c>
      <c r="G343" s="31">
        <f t="shared" si="235"/>
        <v>3</v>
      </c>
      <c r="H343" s="16" t="s">
        <v>10</v>
      </c>
      <c r="I343" s="62">
        <v>1.2</v>
      </c>
      <c r="J343" s="80">
        <f t="shared" si="236"/>
        <v>3.5999999999999996</v>
      </c>
      <c r="K343" s="23">
        <v>55</v>
      </c>
      <c r="L343" s="23">
        <f t="shared" si="237"/>
        <v>197.99999999999997</v>
      </c>
      <c r="M343" s="23">
        <v>66</v>
      </c>
      <c r="N343" s="23">
        <f t="shared" si="238"/>
        <v>198</v>
      </c>
      <c r="O343" s="23">
        <f t="shared" si="239"/>
        <v>396</v>
      </c>
      <c r="P343" s="46"/>
    </row>
    <row r="344" spans="1:16" x14ac:dyDescent="0.25">
      <c r="A344" s="45" t="str">
        <f>IF(G344&lt;&gt;"",1+MAX($A$13:A343),"")</f>
        <v/>
      </c>
      <c r="D344" s="59"/>
      <c r="I344" s="62"/>
      <c r="J344" s="80"/>
      <c r="P344" s="46"/>
    </row>
    <row r="345" spans="1:16" x14ac:dyDescent="0.25">
      <c r="A345" s="45" t="str">
        <f>IF(G345&lt;&gt;"",1+MAX($A$13:A344),"")</f>
        <v/>
      </c>
      <c r="D345" s="58" t="s">
        <v>178</v>
      </c>
      <c r="I345" s="62"/>
      <c r="J345" s="80"/>
      <c r="P345" s="46"/>
    </row>
    <row r="346" spans="1:16" x14ac:dyDescent="0.25">
      <c r="A346" s="45">
        <f>IF(G346&lt;&gt;"",1+MAX($A$13:A345),"")</f>
        <v>214</v>
      </c>
      <c r="B346" s="16" t="s">
        <v>303</v>
      </c>
      <c r="C346" s="16" t="s">
        <v>57</v>
      </c>
      <c r="D346" s="10" t="s">
        <v>177</v>
      </c>
      <c r="E346" s="31">
        <v>12.39</v>
      </c>
      <c r="F346" s="39">
        <f>VLOOKUP(H346,'PROJECT SUMMARY'!$C$26:$D$32,2,0)</f>
        <v>0.05</v>
      </c>
      <c r="G346" s="31">
        <f t="shared" si="235"/>
        <v>13.009500000000001</v>
      </c>
      <c r="H346" s="16" t="s">
        <v>11</v>
      </c>
      <c r="I346" s="62">
        <v>0.65</v>
      </c>
      <c r="J346" s="80">
        <f t="shared" si="236"/>
        <v>8.4561750000000018</v>
      </c>
      <c r="K346" s="23">
        <v>55</v>
      </c>
      <c r="L346" s="23">
        <f t="shared" si="237"/>
        <v>465.08962500000007</v>
      </c>
      <c r="M346" s="23">
        <v>66</v>
      </c>
      <c r="N346" s="23">
        <f t="shared" si="238"/>
        <v>858.62700000000007</v>
      </c>
      <c r="O346" s="23">
        <f t="shared" si="239"/>
        <v>1323.716625</v>
      </c>
      <c r="P346" s="46"/>
    </row>
    <row r="347" spans="1:16" ht="16.5" thickBot="1" x14ac:dyDescent="0.3">
      <c r="A347" s="45" t="str">
        <f>IF(G347&lt;&gt;"",1+MAX($A$13:A346),"")</f>
        <v/>
      </c>
      <c r="I347" s="62"/>
      <c r="P347" s="46"/>
    </row>
    <row r="348" spans="1:16" ht="16.5" thickBot="1" x14ac:dyDescent="0.3">
      <c r="A348" s="87" t="str">
        <f>IF(G348&lt;&gt;"",1+MAX($A$13:A347),"")</f>
        <v/>
      </c>
      <c r="B348" s="83"/>
      <c r="C348" s="83" t="s">
        <v>91</v>
      </c>
      <c r="D348" s="81" t="s">
        <v>92</v>
      </c>
      <c r="E348" s="85"/>
      <c r="F348" s="86"/>
      <c r="G348" s="85"/>
      <c r="H348" s="85"/>
      <c r="I348" s="81"/>
      <c r="J348" s="81"/>
      <c r="K348" s="82"/>
      <c r="L348" s="82"/>
      <c r="M348" s="82"/>
      <c r="N348" s="82"/>
      <c r="O348" s="84"/>
      <c r="P348" s="88">
        <f>SUM(O349:O356)</f>
        <v>7163.5</v>
      </c>
    </row>
    <row r="349" spans="1:16" x14ac:dyDescent="0.25">
      <c r="A349" s="45" t="str">
        <f>IF(G349&lt;&gt;"",1+MAX($A$13:A348),"")</f>
        <v/>
      </c>
      <c r="I349" s="62"/>
      <c r="P349" s="46"/>
    </row>
    <row r="350" spans="1:16" x14ac:dyDescent="0.25">
      <c r="A350" s="16" t="str">
        <f>IF(G350&lt;&gt;"",1+MAX($A$13:A349),"")</f>
        <v/>
      </c>
      <c r="D350" s="58" t="s">
        <v>92</v>
      </c>
      <c r="I350" s="62"/>
      <c r="P350" s="46"/>
    </row>
    <row r="351" spans="1:16" x14ac:dyDescent="0.25">
      <c r="A351" s="45">
        <f>IF(G351&lt;&gt;"",1+MAX($A$13:A350),"")</f>
        <v>215</v>
      </c>
      <c r="B351" s="16" t="s">
        <v>303</v>
      </c>
      <c r="C351" s="16" t="s">
        <v>91</v>
      </c>
      <c r="D351" s="10" t="s">
        <v>170</v>
      </c>
      <c r="E351" s="31">
        <v>1</v>
      </c>
      <c r="F351" s="39">
        <f>VLOOKUP(H351,'PROJECT SUMMARY'!$C$26:$D$32,2,0)</f>
        <v>0</v>
      </c>
      <c r="G351" s="31">
        <f>E351*(1+F351)</f>
        <v>1</v>
      </c>
      <c r="H351" s="16" t="s">
        <v>10</v>
      </c>
      <c r="I351" s="62">
        <v>6.25</v>
      </c>
      <c r="J351" s="80">
        <f>I351*G351</f>
        <v>6.25</v>
      </c>
      <c r="K351" s="23">
        <v>50</v>
      </c>
      <c r="L351" s="23">
        <f>K351*J351</f>
        <v>312.5</v>
      </c>
      <c r="M351" s="23">
        <v>1932</v>
      </c>
      <c r="N351" s="23">
        <f>M351*G351</f>
        <v>1932</v>
      </c>
      <c r="O351" s="23">
        <f>L351+N351</f>
        <v>2244.5</v>
      </c>
      <c r="P351" s="46"/>
    </row>
    <row r="352" spans="1:16" x14ac:dyDescent="0.25">
      <c r="A352" s="45">
        <f>IF(G352&lt;&gt;"",1+MAX($A$13:A351),"")</f>
        <v>216</v>
      </c>
      <c r="B352" s="16" t="s">
        <v>303</v>
      </c>
      <c r="C352" s="16" t="s">
        <v>91</v>
      </c>
      <c r="D352" s="10" t="s">
        <v>171</v>
      </c>
      <c r="E352" s="31">
        <v>1</v>
      </c>
      <c r="F352" s="39">
        <f>VLOOKUP(H352,'PROJECT SUMMARY'!$C$26:$D$32,2,0)</f>
        <v>0</v>
      </c>
      <c r="G352" s="31">
        <f t="shared" ref="G352" si="240">E352*(1+F352)</f>
        <v>1</v>
      </c>
      <c r="H352" s="16" t="s">
        <v>10</v>
      </c>
      <c r="I352" s="62">
        <v>5.33</v>
      </c>
      <c r="J352" s="80">
        <f t="shared" ref="J352:J356" si="241">I352*G352</f>
        <v>5.33</v>
      </c>
      <c r="K352" s="23">
        <v>50</v>
      </c>
      <c r="L352" s="23">
        <f t="shared" ref="L352:L356" si="242">K352*J352</f>
        <v>266.5</v>
      </c>
      <c r="M352" s="23">
        <v>888</v>
      </c>
      <c r="N352" s="23">
        <f t="shared" ref="N352:N356" si="243">M352*G352</f>
        <v>888</v>
      </c>
      <c r="O352" s="23">
        <f t="shared" ref="O352:O356" si="244">L352+N352</f>
        <v>1154.5</v>
      </c>
      <c r="P352" s="46"/>
    </row>
    <row r="353" spans="1:16" x14ac:dyDescent="0.25">
      <c r="A353" s="45">
        <f>IF(G353&lt;&gt;"",1+MAX($A$13:A352),"")</f>
        <v>217</v>
      </c>
      <c r="B353" s="16" t="s">
        <v>303</v>
      </c>
      <c r="C353" s="16" t="s">
        <v>91</v>
      </c>
      <c r="D353" s="10" t="s">
        <v>172</v>
      </c>
      <c r="E353" s="31">
        <v>1</v>
      </c>
      <c r="F353" s="39">
        <f>VLOOKUP(H353,'PROJECT SUMMARY'!$C$26:$D$32,2,0)</f>
        <v>0</v>
      </c>
      <c r="G353" s="31">
        <f t="shared" ref="G353:G356" si="245">E353*(1+F353)</f>
        <v>1</v>
      </c>
      <c r="H353" s="16" t="s">
        <v>10</v>
      </c>
      <c r="I353" s="62">
        <v>4.88</v>
      </c>
      <c r="J353" s="80">
        <f t="shared" si="241"/>
        <v>4.88</v>
      </c>
      <c r="K353" s="23">
        <v>50</v>
      </c>
      <c r="L353" s="23">
        <f t="shared" si="242"/>
        <v>244</v>
      </c>
      <c r="M353" s="23">
        <v>667</v>
      </c>
      <c r="N353" s="23">
        <f t="shared" si="243"/>
        <v>667</v>
      </c>
      <c r="O353" s="23">
        <f t="shared" si="244"/>
        <v>911</v>
      </c>
      <c r="P353" s="46"/>
    </row>
    <row r="354" spans="1:16" x14ac:dyDescent="0.25">
      <c r="A354" s="45">
        <f>IF(G354&lt;&gt;"",1+MAX($A$13:A353),"")</f>
        <v>218</v>
      </c>
      <c r="B354" s="16" t="s">
        <v>303</v>
      </c>
      <c r="C354" s="16" t="s">
        <v>91</v>
      </c>
      <c r="D354" s="10" t="s">
        <v>173</v>
      </c>
      <c r="E354" s="31">
        <v>1</v>
      </c>
      <c r="F354" s="39">
        <f>VLOOKUP(H354,'PROJECT SUMMARY'!$C$26:$D$32,2,0)</f>
        <v>0</v>
      </c>
      <c r="G354" s="31">
        <f t="shared" si="245"/>
        <v>1</v>
      </c>
      <c r="H354" s="16" t="s">
        <v>10</v>
      </c>
      <c r="I354" s="62">
        <v>5.65</v>
      </c>
      <c r="J354" s="80">
        <f t="shared" si="241"/>
        <v>5.65</v>
      </c>
      <c r="K354" s="23">
        <v>50</v>
      </c>
      <c r="L354" s="23">
        <f t="shared" si="242"/>
        <v>282.5</v>
      </c>
      <c r="M354" s="23">
        <v>946</v>
      </c>
      <c r="N354" s="23">
        <f t="shared" si="243"/>
        <v>946</v>
      </c>
      <c r="O354" s="23">
        <f t="shared" si="244"/>
        <v>1228.5</v>
      </c>
      <c r="P354" s="46"/>
    </row>
    <row r="355" spans="1:16" x14ac:dyDescent="0.25">
      <c r="A355" s="45">
        <f>IF(G355&lt;&gt;"",1+MAX($A$13:A354),"")</f>
        <v>219</v>
      </c>
      <c r="B355" s="16" t="s">
        <v>303</v>
      </c>
      <c r="C355" s="16" t="s">
        <v>91</v>
      </c>
      <c r="D355" s="10" t="s">
        <v>174</v>
      </c>
      <c r="E355" s="31">
        <v>1</v>
      </c>
      <c r="F355" s="39">
        <f>VLOOKUP(H355,'PROJECT SUMMARY'!$C$26:$D$32,2,0)</f>
        <v>0</v>
      </c>
      <c r="G355" s="31">
        <f t="shared" si="245"/>
        <v>1</v>
      </c>
      <c r="H355" s="16" t="s">
        <v>10</v>
      </c>
      <c r="I355" s="62">
        <v>4.5999999999999996</v>
      </c>
      <c r="J355" s="80">
        <f t="shared" si="241"/>
        <v>4.5999999999999996</v>
      </c>
      <c r="K355" s="23">
        <v>50</v>
      </c>
      <c r="L355" s="23">
        <f t="shared" si="242"/>
        <v>229.99999999999997</v>
      </c>
      <c r="M355" s="23">
        <v>650</v>
      </c>
      <c r="N355" s="23">
        <f t="shared" si="243"/>
        <v>650</v>
      </c>
      <c r="O355" s="23">
        <f t="shared" si="244"/>
        <v>880</v>
      </c>
      <c r="P355" s="46"/>
    </row>
    <row r="356" spans="1:16" x14ac:dyDescent="0.25">
      <c r="A356" s="45">
        <f>IF(G356&lt;&gt;"",1+MAX($A$13:A355),"")</f>
        <v>220</v>
      </c>
      <c r="B356" s="16" t="s">
        <v>303</v>
      </c>
      <c r="C356" s="16" t="s">
        <v>91</v>
      </c>
      <c r="D356" s="10" t="s">
        <v>175</v>
      </c>
      <c r="E356" s="31">
        <v>1</v>
      </c>
      <c r="F356" s="39">
        <f>VLOOKUP(H356,'PROJECT SUMMARY'!$C$26:$D$32,2,0)</f>
        <v>0</v>
      </c>
      <c r="G356" s="31">
        <f t="shared" si="245"/>
        <v>1</v>
      </c>
      <c r="H356" s="16" t="s">
        <v>10</v>
      </c>
      <c r="I356" s="62">
        <v>3.22</v>
      </c>
      <c r="J356" s="80">
        <f t="shared" si="241"/>
        <v>3.22</v>
      </c>
      <c r="K356" s="23">
        <v>50</v>
      </c>
      <c r="L356" s="23">
        <f t="shared" si="242"/>
        <v>161</v>
      </c>
      <c r="M356" s="23">
        <v>584</v>
      </c>
      <c r="N356" s="23">
        <f t="shared" si="243"/>
        <v>584</v>
      </c>
      <c r="O356" s="23">
        <f t="shared" si="244"/>
        <v>745</v>
      </c>
      <c r="P356" s="46"/>
    </row>
    <row r="357" spans="1:16" ht="16.5" thickBot="1" x14ac:dyDescent="0.3">
      <c r="A357" s="45" t="str">
        <f>IF(G357&lt;&gt;"",1+MAX($A$13:A356),"")</f>
        <v/>
      </c>
      <c r="P357" s="46"/>
    </row>
    <row r="358" spans="1:16" ht="16.5" thickBot="1" x14ac:dyDescent="0.3">
      <c r="A358" s="87" t="str">
        <f>IF(G358&lt;&gt;"",1+MAX($A$13:A357),"")</f>
        <v/>
      </c>
      <c r="B358" s="83"/>
      <c r="C358" s="83" t="s">
        <v>58</v>
      </c>
      <c r="D358" s="81" t="s">
        <v>61</v>
      </c>
      <c r="E358" s="85"/>
      <c r="F358" s="86"/>
      <c r="G358" s="85"/>
      <c r="H358" s="85"/>
      <c r="I358" s="81"/>
      <c r="J358" s="81"/>
      <c r="K358" s="82"/>
      <c r="L358" s="82"/>
      <c r="M358" s="82"/>
      <c r="N358" s="82"/>
      <c r="O358" s="84"/>
      <c r="P358" s="88">
        <f>SUM(O359:O376)</f>
        <v>29515.322508000001</v>
      </c>
    </row>
    <row r="359" spans="1:16" x14ac:dyDescent="0.25">
      <c r="A359" s="45" t="str">
        <f>IF(G359&lt;&gt;"",1+MAX($A$13:A358),"")</f>
        <v/>
      </c>
      <c r="P359" s="46"/>
    </row>
    <row r="360" spans="1:16" x14ac:dyDescent="0.25">
      <c r="A360" s="16" t="str">
        <f>IF(G360&lt;&gt;"",1+MAX($A$13:A359),"")</f>
        <v/>
      </c>
      <c r="D360" s="58" t="s">
        <v>62</v>
      </c>
      <c r="P360" s="46"/>
    </row>
    <row r="361" spans="1:16" x14ac:dyDescent="0.25">
      <c r="A361" s="60">
        <f>IF(G361&lt;&gt;"",1+MAX($A$13:A360),"")</f>
        <v>221</v>
      </c>
      <c r="B361" s="16" t="s">
        <v>303</v>
      </c>
      <c r="C361" s="16" t="s">
        <v>58</v>
      </c>
      <c r="D361" s="10" t="s">
        <v>157</v>
      </c>
      <c r="E361" s="31">
        <f>12.02*4</f>
        <v>48.08</v>
      </c>
      <c r="F361" s="39">
        <f>VLOOKUP(H361,'PROJECT SUMMARY'!$C$26:$D$32,2,0)</f>
        <v>0.05</v>
      </c>
      <c r="G361" s="31">
        <f>E361*(1+F361)</f>
        <v>50.484000000000002</v>
      </c>
      <c r="H361" s="16" t="s">
        <v>12</v>
      </c>
      <c r="I361" s="62">
        <v>0.2</v>
      </c>
      <c r="J361" s="71">
        <f>I361*G361</f>
        <v>10.096800000000002</v>
      </c>
      <c r="K361" s="72">
        <v>65</v>
      </c>
      <c r="L361" s="23">
        <f>K361*J361</f>
        <v>656.29200000000014</v>
      </c>
      <c r="M361" s="23">
        <v>85.5</v>
      </c>
      <c r="N361" s="23">
        <f>M361*G361</f>
        <v>4316.3820000000005</v>
      </c>
      <c r="O361" s="23">
        <f>L361+N361</f>
        <v>4972.6740000000009</v>
      </c>
      <c r="P361" s="46"/>
    </row>
    <row r="362" spans="1:16" x14ac:dyDescent="0.25">
      <c r="A362" s="60">
        <f>IF(G362&lt;&gt;"",1+MAX($A$13:A361),"")</f>
        <v>222</v>
      </c>
      <c r="B362" s="16" t="s">
        <v>303</v>
      </c>
      <c r="C362" s="16" t="s">
        <v>58</v>
      </c>
      <c r="D362" s="10" t="s">
        <v>158</v>
      </c>
      <c r="E362" s="31">
        <f>7.03*2</f>
        <v>14.06</v>
      </c>
      <c r="F362" s="39">
        <f>VLOOKUP(H362,'PROJECT SUMMARY'!$C$26:$D$32,2,0)</f>
        <v>0.05</v>
      </c>
      <c r="G362" s="31">
        <f t="shared" ref="G362:G365" si="246">E362*(1+F362)</f>
        <v>14.763000000000002</v>
      </c>
      <c r="H362" s="16" t="s">
        <v>12</v>
      </c>
      <c r="I362" s="62">
        <v>0.2</v>
      </c>
      <c r="J362" s="71">
        <f t="shared" ref="J362:J365" si="247">I362*G362</f>
        <v>2.9526000000000003</v>
      </c>
      <c r="K362" s="72">
        <v>65</v>
      </c>
      <c r="L362" s="23">
        <f t="shared" ref="L362:L365" si="248">K362*J362</f>
        <v>191.91900000000001</v>
      </c>
      <c r="M362" s="23">
        <v>85.5</v>
      </c>
      <c r="N362" s="23">
        <f t="shared" ref="N362:N365" si="249">M362*G362</f>
        <v>1262.2365000000002</v>
      </c>
      <c r="O362" s="23">
        <f t="shared" ref="O362:O365" si="250">L362+N362</f>
        <v>1454.1555000000003</v>
      </c>
      <c r="P362" s="46"/>
    </row>
    <row r="363" spans="1:16" x14ac:dyDescent="0.25">
      <c r="A363" s="60">
        <f>IF(G363&lt;&gt;"",1+MAX($A$13:A362),"")</f>
        <v>223</v>
      </c>
      <c r="B363" s="16" t="s">
        <v>303</v>
      </c>
      <c r="C363" s="16" t="s">
        <v>58</v>
      </c>
      <c r="D363" s="10" t="s">
        <v>176</v>
      </c>
      <c r="E363" s="31">
        <f>5.28*2.67</f>
        <v>14.0976</v>
      </c>
      <c r="F363" s="39">
        <f>VLOOKUP(H363,'PROJECT SUMMARY'!$C$26:$D$32,2,0)</f>
        <v>0.05</v>
      </c>
      <c r="G363" s="31">
        <f t="shared" ref="G363" si="251">E363*(1+F363)</f>
        <v>14.802480000000001</v>
      </c>
      <c r="H363" s="16" t="s">
        <v>12</v>
      </c>
      <c r="I363" s="62">
        <v>0.2</v>
      </c>
      <c r="J363" s="71">
        <f t="shared" si="247"/>
        <v>2.9604960000000005</v>
      </c>
      <c r="K363" s="72">
        <v>65</v>
      </c>
      <c r="L363" s="23">
        <f t="shared" si="248"/>
        <v>192.43224000000004</v>
      </c>
      <c r="M363" s="23">
        <v>85.5</v>
      </c>
      <c r="N363" s="23">
        <f t="shared" si="249"/>
        <v>1265.61204</v>
      </c>
      <c r="O363" s="23">
        <f t="shared" si="250"/>
        <v>1458.0442800000001</v>
      </c>
      <c r="P363" s="46"/>
    </row>
    <row r="364" spans="1:16" x14ac:dyDescent="0.25">
      <c r="A364" s="60">
        <f>IF(G364&lt;&gt;"",1+MAX($A$13:A363),"")</f>
        <v>224</v>
      </c>
      <c r="B364" s="16" t="s">
        <v>303</v>
      </c>
      <c r="C364" s="16" t="s">
        <v>58</v>
      </c>
      <c r="D364" s="10" t="s">
        <v>159</v>
      </c>
      <c r="E364" s="31">
        <f>16.28*2</f>
        <v>32.56</v>
      </c>
      <c r="F364" s="39">
        <f>VLOOKUP(H364,'PROJECT SUMMARY'!$C$26:$D$32,2,0)</f>
        <v>0.05</v>
      </c>
      <c r="G364" s="31">
        <f t="shared" si="246"/>
        <v>34.188000000000002</v>
      </c>
      <c r="H364" s="16" t="s">
        <v>12</v>
      </c>
      <c r="I364" s="62">
        <v>0.2</v>
      </c>
      <c r="J364" s="71">
        <f t="shared" si="247"/>
        <v>6.837600000000001</v>
      </c>
      <c r="K364" s="72">
        <v>65</v>
      </c>
      <c r="L364" s="23">
        <f t="shared" si="248"/>
        <v>444.44400000000007</v>
      </c>
      <c r="M364" s="23">
        <v>85.5</v>
      </c>
      <c r="N364" s="23">
        <f t="shared" si="249"/>
        <v>2923.0740000000001</v>
      </c>
      <c r="O364" s="23">
        <f t="shared" si="250"/>
        <v>3367.518</v>
      </c>
      <c r="P364" s="46"/>
    </row>
    <row r="365" spans="1:16" x14ac:dyDescent="0.25">
      <c r="A365" s="60">
        <f>IF(G365&lt;&gt;"",1+MAX($A$13:A364),"")</f>
        <v>225</v>
      </c>
      <c r="B365" s="16" t="s">
        <v>303</v>
      </c>
      <c r="C365" s="16" t="s">
        <v>58</v>
      </c>
      <c r="D365" s="10" t="s">
        <v>160</v>
      </c>
      <c r="E365" s="31">
        <f>6.78*2.167</f>
        <v>14.692259999999999</v>
      </c>
      <c r="F365" s="39">
        <f>VLOOKUP(H365,'PROJECT SUMMARY'!$C$26:$D$32,2,0)</f>
        <v>0.05</v>
      </c>
      <c r="G365" s="31">
        <f t="shared" si="246"/>
        <v>15.426873000000001</v>
      </c>
      <c r="H365" s="16" t="s">
        <v>12</v>
      </c>
      <c r="I365" s="62">
        <v>0.2</v>
      </c>
      <c r="J365" s="71">
        <f t="shared" si="247"/>
        <v>3.0853746000000002</v>
      </c>
      <c r="K365" s="72">
        <v>65</v>
      </c>
      <c r="L365" s="23">
        <f t="shared" si="248"/>
        <v>200.54934900000001</v>
      </c>
      <c r="M365" s="23">
        <v>85.5</v>
      </c>
      <c r="N365" s="23">
        <f t="shared" si="249"/>
        <v>1318.9976415000001</v>
      </c>
      <c r="O365" s="23">
        <f t="shared" si="250"/>
        <v>1519.5469905</v>
      </c>
      <c r="P365" s="46"/>
    </row>
    <row r="366" spans="1:16" x14ac:dyDescent="0.25">
      <c r="A366" s="60" t="str">
        <f>IF(G366&lt;&gt;"",1+MAX($A$13:A365),"")</f>
        <v/>
      </c>
      <c r="I366" s="62"/>
      <c r="J366" s="71"/>
      <c r="K366" s="72"/>
      <c r="P366" s="46"/>
    </row>
    <row r="367" spans="1:16" x14ac:dyDescent="0.25">
      <c r="A367" s="60">
        <f>IF(G367&lt;&gt;"",1+MAX($A$13:A366),"")</f>
        <v>226</v>
      </c>
      <c r="B367" s="16" t="s">
        <v>303</v>
      </c>
      <c r="C367" s="16" t="s">
        <v>58</v>
      </c>
      <c r="D367" s="10" t="s">
        <v>161</v>
      </c>
      <c r="E367" s="31">
        <v>11.66</v>
      </c>
      <c r="F367" s="39">
        <f>VLOOKUP(H367,'PROJECT SUMMARY'!$C$26:$D$32,2,0)</f>
        <v>0.05</v>
      </c>
      <c r="G367" s="31">
        <f>E367*(1+F367)</f>
        <v>12.243</v>
      </c>
      <c r="H367" s="16" t="s">
        <v>11</v>
      </c>
      <c r="I367" s="62">
        <v>1.25</v>
      </c>
      <c r="J367" s="71">
        <f>I367*G367</f>
        <v>15.303750000000001</v>
      </c>
      <c r="K367" s="72">
        <v>65</v>
      </c>
      <c r="L367" s="23">
        <f>K367*J367</f>
        <v>994.74375000000009</v>
      </c>
      <c r="M367" s="23">
        <v>148</v>
      </c>
      <c r="N367" s="23">
        <f>M367*G367</f>
        <v>1811.9639999999999</v>
      </c>
      <c r="O367" s="23">
        <f>L367+N367</f>
        <v>2806.70775</v>
      </c>
      <c r="P367" s="46"/>
    </row>
    <row r="368" spans="1:16" x14ac:dyDescent="0.25">
      <c r="A368" s="60">
        <f>IF(G368&lt;&gt;"",1+MAX($A$13:A367),"")</f>
        <v>227</v>
      </c>
      <c r="B368" s="16" t="s">
        <v>303</v>
      </c>
      <c r="C368" s="16" t="s">
        <v>58</v>
      </c>
      <c r="D368" s="10" t="s">
        <v>162</v>
      </c>
      <c r="E368" s="31">
        <v>7.03</v>
      </c>
      <c r="F368" s="39">
        <f>VLOOKUP(H368,'PROJECT SUMMARY'!$C$26:$D$32,2,0)</f>
        <v>0.05</v>
      </c>
      <c r="G368" s="31">
        <f t="shared" ref="G368:G376" si="252">E368*(1+F368)</f>
        <v>7.3815000000000008</v>
      </c>
      <c r="H368" s="16" t="s">
        <v>11</v>
      </c>
      <c r="I368" s="62">
        <v>1.22</v>
      </c>
      <c r="J368" s="71">
        <f t="shared" ref="J368:J369" si="253">I368*G368</f>
        <v>9.0054300000000005</v>
      </c>
      <c r="K368" s="72">
        <v>65</v>
      </c>
      <c r="L368" s="23">
        <f t="shared" ref="L368:L369" si="254">K368*J368</f>
        <v>585.35295000000008</v>
      </c>
      <c r="M368" s="23">
        <v>144</v>
      </c>
      <c r="N368" s="23">
        <f t="shared" ref="N368:N369" si="255">M368*G368</f>
        <v>1062.9360000000001</v>
      </c>
      <c r="O368" s="23">
        <f t="shared" ref="O368:O369" si="256">L368+N368</f>
        <v>1648.2889500000001</v>
      </c>
      <c r="P368" s="46"/>
    </row>
    <row r="369" spans="1:16" x14ac:dyDescent="0.25">
      <c r="A369" s="60">
        <f>IF(G369&lt;&gt;"",1+MAX($A$13:A368),"")</f>
        <v>228</v>
      </c>
      <c r="B369" s="16" t="s">
        <v>303</v>
      </c>
      <c r="C369" s="16" t="s">
        <v>58</v>
      </c>
      <c r="D369" s="10" t="s">
        <v>163</v>
      </c>
      <c r="E369" s="31">
        <v>6.84</v>
      </c>
      <c r="F369" s="39">
        <f>VLOOKUP(H369,'PROJECT SUMMARY'!$C$26:$D$32,2,0)</f>
        <v>0.05</v>
      </c>
      <c r="G369" s="31">
        <f t="shared" si="252"/>
        <v>7.1820000000000004</v>
      </c>
      <c r="H369" s="16" t="s">
        <v>11</v>
      </c>
      <c r="I369" s="62">
        <v>1.1499999999999999</v>
      </c>
      <c r="J369" s="71">
        <f t="shared" si="253"/>
        <v>8.2592999999999996</v>
      </c>
      <c r="K369" s="72">
        <v>65</v>
      </c>
      <c r="L369" s="23">
        <f t="shared" si="254"/>
        <v>536.85450000000003</v>
      </c>
      <c r="M369" s="23">
        <v>118.26</v>
      </c>
      <c r="N369" s="23">
        <f t="shared" si="255"/>
        <v>849.34332000000006</v>
      </c>
      <c r="O369" s="23">
        <f t="shared" si="256"/>
        <v>1386.1978200000001</v>
      </c>
      <c r="P369" s="46"/>
    </row>
    <row r="370" spans="1:16" x14ac:dyDescent="0.25">
      <c r="A370" s="60">
        <f>IF(G370&lt;&gt;"",1+MAX($A$13:A369),"")</f>
        <v>229</v>
      </c>
      <c r="B370" s="16" t="s">
        <v>303</v>
      </c>
      <c r="C370" s="16" t="s">
        <v>58</v>
      </c>
      <c r="D370" s="10" t="s">
        <v>164</v>
      </c>
      <c r="E370" s="31">
        <v>16.27</v>
      </c>
      <c r="F370" s="39">
        <f>VLOOKUP(H370,'PROJECT SUMMARY'!$C$26:$D$32,2,0)</f>
        <v>0.05</v>
      </c>
      <c r="G370" s="31">
        <f t="shared" si="252"/>
        <v>17.083500000000001</v>
      </c>
      <c r="H370" s="16" t="s">
        <v>11</v>
      </c>
      <c r="I370" s="62">
        <v>1.22</v>
      </c>
      <c r="J370" s="71">
        <f t="shared" ref="J370:J371" si="257">I370*G370</f>
        <v>20.84187</v>
      </c>
      <c r="K370" s="72">
        <v>65</v>
      </c>
      <c r="L370" s="23">
        <f t="shared" ref="L370:L371" si="258">K370*J370</f>
        <v>1354.72155</v>
      </c>
      <c r="M370" s="23">
        <v>144</v>
      </c>
      <c r="N370" s="23">
        <f t="shared" ref="N370:N371" si="259">M370*G370</f>
        <v>2460.0240000000003</v>
      </c>
      <c r="O370" s="23">
        <f t="shared" ref="O370:O371" si="260">L370+N370</f>
        <v>3814.7455500000005</v>
      </c>
      <c r="P370" s="46"/>
    </row>
    <row r="371" spans="1:16" x14ac:dyDescent="0.25">
      <c r="A371" s="60">
        <f>IF(G371&lt;&gt;"",1+MAX($A$13:A370),"")</f>
        <v>230</v>
      </c>
      <c r="B371" s="16" t="s">
        <v>303</v>
      </c>
      <c r="C371" s="16" t="s">
        <v>58</v>
      </c>
      <c r="D371" s="10" t="s">
        <v>165</v>
      </c>
      <c r="E371" s="31">
        <v>6.63</v>
      </c>
      <c r="F371" s="39">
        <f>VLOOKUP(H371,'PROJECT SUMMARY'!$C$26:$D$32,2,0)</f>
        <v>0.05</v>
      </c>
      <c r="G371" s="31">
        <f t="shared" si="252"/>
        <v>6.9615</v>
      </c>
      <c r="H371" s="16" t="s">
        <v>11</v>
      </c>
      <c r="I371" s="62">
        <v>1.22</v>
      </c>
      <c r="J371" s="71">
        <f t="shared" si="257"/>
        <v>8.4930299999999992</v>
      </c>
      <c r="K371" s="72">
        <v>65</v>
      </c>
      <c r="L371" s="23">
        <f t="shared" si="258"/>
        <v>552.04694999999992</v>
      </c>
      <c r="M371" s="23">
        <v>144</v>
      </c>
      <c r="N371" s="23">
        <f t="shared" si="259"/>
        <v>1002.456</v>
      </c>
      <c r="O371" s="23">
        <f t="shared" si="260"/>
        <v>1554.5029500000001</v>
      </c>
      <c r="P371" s="46"/>
    </row>
    <row r="372" spans="1:16" x14ac:dyDescent="0.25">
      <c r="A372" s="60" t="str">
        <f>IF(G372&lt;&gt;"",1+MAX($A$13:A371),"")</f>
        <v/>
      </c>
      <c r="I372" s="62"/>
      <c r="J372" s="71"/>
      <c r="K372" s="72"/>
      <c r="P372" s="46"/>
    </row>
    <row r="373" spans="1:16" x14ac:dyDescent="0.25">
      <c r="A373" s="60">
        <f>IF(G373&lt;&gt;"",1+MAX($A$13:A372),"")</f>
        <v>231</v>
      </c>
      <c r="B373" s="16" t="s">
        <v>303</v>
      </c>
      <c r="C373" s="16" t="s">
        <v>58</v>
      </c>
      <c r="D373" s="10" t="s">
        <v>167</v>
      </c>
      <c r="E373" s="31">
        <v>22.06</v>
      </c>
      <c r="F373" s="39">
        <f>VLOOKUP(H373,'PROJECT SUMMARY'!$C$26:$D$32,2,0)</f>
        <v>0.05</v>
      </c>
      <c r="G373" s="31">
        <f t="shared" si="252"/>
        <v>23.163</v>
      </c>
      <c r="H373" s="16" t="s">
        <v>11</v>
      </c>
      <c r="I373" s="62">
        <v>0.45</v>
      </c>
      <c r="J373" s="71">
        <f t="shared" ref="J373:J376" si="261">I373*G373</f>
        <v>10.423350000000001</v>
      </c>
      <c r="K373" s="72">
        <v>65</v>
      </c>
      <c r="L373" s="23">
        <f t="shared" ref="L373:L376" si="262">K373*J373</f>
        <v>677.51775000000009</v>
      </c>
      <c r="M373" s="23">
        <v>40</v>
      </c>
      <c r="N373" s="23">
        <f t="shared" ref="N373:N376" si="263">M373*G373</f>
        <v>926.52</v>
      </c>
      <c r="O373" s="23">
        <f t="shared" ref="O373:O376" si="264">L373+N373</f>
        <v>1604.03775</v>
      </c>
      <c r="P373" s="46"/>
    </row>
    <row r="374" spans="1:16" x14ac:dyDescent="0.25">
      <c r="A374" s="60">
        <f>IF(G374&lt;&gt;"",1+MAX($A$13:A373),"")</f>
        <v>232</v>
      </c>
      <c r="B374" s="16" t="s">
        <v>303</v>
      </c>
      <c r="C374" s="16" t="s">
        <v>58</v>
      </c>
      <c r="D374" s="10" t="s">
        <v>169</v>
      </c>
      <c r="E374" s="31">
        <v>16.79</v>
      </c>
      <c r="F374" s="39">
        <f>VLOOKUP(H374,'PROJECT SUMMARY'!$C$26:$D$32,2,0)</f>
        <v>0.05</v>
      </c>
      <c r="G374" s="31">
        <f t="shared" si="252"/>
        <v>17.6295</v>
      </c>
      <c r="H374" s="16" t="s">
        <v>11</v>
      </c>
      <c r="I374" s="62">
        <v>0.42</v>
      </c>
      <c r="J374" s="71">
        <f t="shared" si="261"/>
        <v>7.4043899999999994</v>
      </c>
      <c r="K374" s="72">
        <v>65</v>
      </c>
      <c r="L374" s="23">
        <f t="shared" si="262"/>
        <v>481.28534999999994</v>
      </c>
      <c r="M374" s="23">
        <v>35</v>
      </c>
      <c r="N374" s="23">
        <f t="shared" si="263"/>
        <v>617.03250000000003</v>
      </c>
      <c r="O374" s="23">
        <f t="shared" si="264"/>
        <v>1098.3178499999999</v>
      </c>
      <c r="P374" s="46"/>
    </row>
    <row r="375" spans="1:16" x14ac:dyDescent="0.25">
      <c r="A375" s="60">
        <f>IF(G375&lt;&gt;"",1+MAX($A$13:A374),"")</f>
        <v>233</v>
      </c>
      <c r="B375" s="16" t="s">
        <v>303</v>
      </c>
      <c r="C375" s="16" t="s">
        <v>58</v>
      </c>
      <c r="D375" s="10" t="s">
        <v>168</v>
      </c>
      <c r="E375" s="31">
        <v>13.08</v>
      </c>
      <c r="F375" s="39">
        <f>VLOOKUP(H375,'PROJECT SUMMARY'!$C$26:$D$32,2,0)</f>
        <v>0.05</v>
      </c>
      <c r="G375" s="31">
        <f t="shared" si="252"/>
        <v>13.734</v>
      </c>
      <c r="H375" s="16" t="s">
        <v>11</v>
      </c>
      <c r="I375" s="62">
        <v>0.51500000000000001</v>
      </c>
      <c r="J375" s="71">
        <f t="shared" si="261"/>
        <v>7.07301</v>
      </c>
      <c r="K375" s="72">
        <v>65</v>
      </c>
      <c r="L375" s="23">
        <f t="shared" si="262"/>
        <v>459.74565000000001</v>
      </c>
      <c r="M375" s="23">
        <v>46.57</v>
      </c>
      <c r="N375" s="23">
        <f t="shared" si="263"/>
        <v>639.59238000000005</v>
      </c>
      <c r="O375" s="23">
        <f t="shared" si="264"/>
        <v>1099.3380300000001</v>
      </c>
      <c r="P375" s="46"/>
    </row>
    <row r="376" spans="1:16" x14ac:dyDescent="0.25">
      <c r="A376" s="60">
        <f>IF(G376&lt;&gt;"",1+MAX($A$13:A375),"")</f>
        <v>234</v>
      </c>
      <c r="B376" s="16" t="s">
        <v>303</v>
      </c>
      <c r="C376" s="16" t="s">
        <v>58</v>
      </c>
      <c r="D376" s="10" t="s">
        <v>166</v>
      </c>
      <c r="E376" s="31">
        <v>48.53</v>
      </c>
      <c r="F376" s="39">
        <f>VLOOKUP(H376,'PROJECT SUMMARY'!$C$26:$D$32,2,0)</f>
        <v>0.05</v>
      </c>
      <c r="G376" s="31">
        <f t="shared" si="252"/>
        <v>50.956500000000005</v>
      </c>
      <c r="H376" s="16" t="s">
        <v>11</v>
      </c>
      <c r="I376" s="62">
        <v>0.215</v>
      </c>
      <c r="J376" s="71">
        <f t="shared" si="261"/>
        <v>10.955647500000001</v>
      </c>
      <c r="K376" s="72">
        <v>65</v>
      </c>
      <c r="L376" s="23">
        <f t="shared" si="262"/>
        <v>712.11708750000014</v>
      </c>
      <c r="M376" s="23">
        <v>20</v>
      </c>
      <c r="N376" s="23">
        <f t="shared" si="263"/>
        <v>1019.1300000000001</v>
      </c>
      <c r="O376" s="23">
        <f t="shared" si="264"/>
        <v>1731.2470875000004</v>
      </c>
      <c r="P376" s="46"/>
    </row>
    <row r="377" spans="1:16" ht="16.5" thickBot="1" x14ac:dyDescent="0.3">
      <c r="A377" s="60" t="str">
        <f>IF(G377&lt;&gt;"",1+MAX($A$13:A376),"")</f>
        <v/>
      </c>
      <c r="D377" s="59"/>
      <c r="I377" s="62"/>
      <c r="J377" s="71"/>
      <c r="K377" s="72"/>
      <c r="P377" s="46"/>
    </row>
    <row r="378" spans="1:16" ht="16.5" thickBot="1" x14ac:dyDescent="0.3">
      <c r="A378" s="87" t="str">
        <f>IF(G378&lt;&gt;"",1+MAX($A$13:A377),"")</f>
        <v/>
      </c>
      <c r="B378" s="83"/>
      <c r="C378" s="83" t="s">
        <v>93</v>
      </c>
      <c r="D378" s="81" t="s">
        <v>94</v>
      </c>
      <c r="E378" s="85"/>
      <c r="F378" s="86"/>
      <c r="G378" s="85"/>
      <c r="H378" s="85"/>
      <c r="I378" s="81"/>
      <c r="J378" s="81"/>
      <c r="K378" s="82"/>
      <c r="L378" s="82"/>
      <c r="M378" s="82"/>
      <c r="N378" s="82"/>
      <c r="O378" s="84"/>
      <c r="P378" s="88">
        <f>SUM(O379:O388)</f>
        <v>18527.500000000004</v>
      </c>
    </row>
    <row r="379" spans="1:16" x14ac:dyDescent="0.25">
      <c r="A379" s="60" t="str">
        <f>IF(G379&lt;&gt;"",1+MAX($A$13:A378),"")</f>
        <v/>
      </c>
      <c r="D379" s="59"/>
      <c r="I379" s="62"/>
      <c r="J379" s="71"/>
      <c r="K379" s="72"/>
      <c r="P379" s="46"/>
    </row>
    <row r="380" spans="1:16" x14ac:dyDescent="0.25">
      <c r="A380" s="60">
        <f>IF(G380&lt;&gt;"",1+MAX($A$13:A379),"")</f>
        <v>235</v>
      </c>
      <c r="B380" s="16" t="s">
        <v>303</v>
      </c>
      <c r="C380" s="16" t="s">
        <v>93</v>
      </c>
      <c r="D380" s="10" t="s">
        <v>273</v>
      </c>
      <c r="E380" s="31">
        <v>1</v>
      </c>
      <c r="F380" s="39">
        <f>VLOOKUP(H380,'PROJECT SUMMARY'!$C$26:$D$32,2,0)</f>
        <v>0</v>
      </c>
      <c r="G380" s="31">
        <f t="shared" ref="G380:G383" si="265">E380*(1+F380)</f>
        <v>1</v>
      </c>
      <c r="H380" s="16" t="s">
        <v>13</v>
      </c>
      <c r="I380" s="62">
        <v>38.991666666666703</v>
      </c>
      <c r="J380" s="71">
        <f t="shared" ref="J380:J387" si="266">I380*G380</f>
        <v>38.991666666666703</v>
      </c>
      <c r="K380" s="72">
        <v>90</v>
      </c>
      <c r="L380" s="23">
        <f t="shared" ref="L380:L387" si="267">K380*J380</f>
        <v>3509.2500000000032</v>
      </c>
      <c r="M380" s="23">
        <v>1388.25</v>
      </c>
      <c r="N380" s="23">
        <f t="shared" ref="N380:N387" si="268">M380*G380</f>
        <v>1388.25</v>
      </c>
      <c r="O380" s="23">
        <f t="shared" ref="O380:O387" si="269">L380+N380</f>
        <v>4897.5000000000036</v>
      </c>
      <c r="P380" s="46"/>
    </row>
    <row r="381" spans="1:16" x14ac:dyDescent="0.25">
      <c r="A381" s="60" t="str">
        <f>IF(G381&lt;&gt;"",1+MAX($A$13:A380),"")</f>
        <v/>
      </c>
      <c r="D381" s="59"/>
      <c r="I381" s="62"/>
      <c r="J381" s="71"/>
      <c r="K381" s="72"/>
      <c r="P381" s="46"/>
    </row>
    <row r="382" spans="1:16" ht="18.75" x14ac:dyDescent="0.25">
      <c r="A382" s="60" t="str">
        <f>IF(G382&lt;&gt;"",1+MAX($A$13:A381),"")</f>
        <v/>
      </c>
      <c r="D382" s="78" t="s">
        <v>95</v>
      </c>
      <c r="E382"/>
      <c r="I382" s="62"/>
      <c r="J382" s="71"/>
      <c r="K382" s="72"/>
      <c r="P382" s="46"/>
    </row>
    <row r="383" spans="1:16" x14ac:dyDescent="0.25">
      <c r="A383" s="60">
        <f>IF(G383&lt;&gt;"",1+MAX($A$13:A382),"")</f>
        <v>236</v>
      </c>
      <c r="B383" s="16" t="s">
        <v>303</v>
      </c>
      <c r="C383" s="16" t="s">
        <v>93</v>
      </c>
      <c r="D383" s="10" t="s">
        <v>185</v>
      </c>
      <c r="E383" s="31">
        <v>3</v>
      </c>
      <c r="F383" s="39">
        <f>VLOOKUP(H383,'PROJECT SUMMARY'!$C$26:$D$32,2,0)</f>
        <v>0</v>
      </c>
      <c r="G383" s="31">
        <f t="shared" si="265"/>
        <v>3</v>
      </c>
      <c r="H383" s="16" t="s">
        <v>10</v>
      </c>
      <c r="I383" s="62">
        <v>4.25</v>
      </c>
      <c r="J383" s="71">
        <f t="shared" si="266"/>
        <v>12.75</v>
      </c>
      <c r="K383" s="72">
        <v>90</v>
      </c>
      <c r="L383" s="23">
        <f t="shared" si="267"/>
        <v>1147.5</v>
      </c>
      <c r="M383" s="23">
        <v>418</v>
      </c>
      <c r="N383" s="23">
        <f t="shared" si="268"/>
        <v>1254</v>
      </c>
      <c r="O383" s="23">
        <f t="shared" si="269"/>
        <v>2401.5</v>
      </c>
      <c r="P383" s="46"/>
    </row>
    <row r="384" spans="1:16" x14ac:dyDescent="0.25">
      <c r="A384" s="60">
        <f>IF(G384&lt;&gt;"",1+MAX($A$13:A383),"")</f>
        <v>237</v>
      </c>
      <c r="B384" s="16" t="s">
        <v>303</v>
      </c>
      <c r="C384" s="16" t="s">
        <v>93</v>
      </c>
      <c r="D384" s="10" t="s">
        <v>186</v>
      </c>
      <c r="E384" s="31">
        <v>5</v>
      </c>
      <c r="F384" s="39">
        <f>VLOOKUP(H384,'PROJECT SUMMARY'!$C$26:$D$32,2,0)</f>
        <v>0</v>
      </c>
      <c r="G384" s="31">
        <f t="shared" ref="G384:G387" si="270">E384*(1+F384)</f>
        <v>5</v>
      </c>
      <c r="H384" s="16" t="s">
        <v>10</v>
      </c>
      <c r="I384" s="62">
        <v>6.57</v>
      </c>
      <c r="J384" s="71">
        <f t="shared" si="266"/>
        <v>32.85</v>
      </c>
      <c r="K384" s="72">
        <v>90</v>
      </c>
      <c r="L384" s="23">
        <f t="shared" si="267"/>
        <v>2956.5</v>
      </c>
      <c r="M384" s="23">
        <v>663</v>
      </c>
      <c r="N384" s="23">
        <f t="shared" si="268"/>
        <v>3315</v>
      </c>
      <c r="O384" s="23">
        <f t="shared" si="269"/>
        <v>6271.5</v>
      </c>
      <c r="P384" s="46"/>
    </row>
    <row r="385" spans="1:16" x14ac:dyDescent="0.25">
      <c r="A385" s="60">
        <f>IF(G385&lt;&gt;"",1+MAX($A$13:A384),"")</f>
        <v>238</v>
      </c>
      <c r="B385" s="16" t="s">
        <v>303</v>
      </c>
      <c r="C385" s="16" t="s">
        <v>93</v>
      </c>
      <c r="D385" s="10" t="s">
        <v>187</v>
      </c>
      <c r="E385" s="31">
        <v>1</v>
      </c>
      <c r="F385" s="39">
        <f>VLOOKUP(H385,'PROJECT SUMMARY'!$C$26:$D$32,2,0)</f>
        <v>0</v>
      </c>
      <c r="G385" s="31">
        <f t="shared" si="270"/>
        <v>1</v>
      </c>
      <c r="H385" s="16" t="s">
        <v>10</v>
      </c>
      <c r="I385" s="62">
        <v>5</v>
      </c>
      <c r="J385" s="71">
        <f t="shared" si="266"/>
        <v>5</v>
      </c>
      <c r="K385" s="72">
        <v>90</v>
      </c>
      <c r="L385" s="23">
        <f t="shared" si="267"/>
        <v>450</v>
      </c>
      <c r="M385" s="23">
        <v>550</v>
      </c>
      <c r="N385" s="23">
        <f t="shared" si="268"/>
        <v>550</v>
      </c>
      <c r="O385" s="23">
        <f t="shared" si="269"/>
        <v>1000</v>
      </c>
      <c r="P385" s="46"/>
    </row>
    <row r="386" spans="1:16" x14ac:dyDescent="0.25">
      <c r="A386" s="60">
        <f>IF(G386&lt;&gt;"",1+MAX($A$13:A385),"")</f>
        <v>239</v>
      </c>
      <c r="B386" s="16" t="s">
        <v>303</v>
      </c>
      <c r="C386" s="16" t="s">
        <v>93</v>
      </c>
      <c r="D386" s="10" t="s">
        <v>188</v>
      </c>
      <c r="E386" s="31">
        <v>1</v>
      </c>
      <c r="F386" s="39">
        <f>VLOOKUP(H386,'PROJECT SUMMARY'!$C$26:$D$32,2,0)</f>
        <v>0</v>
      </c>
      <c r="G386" s="31">
        <f t="shared" si="270"/>
        <v>1</v>
      </c>
      <c r="H386" s="16" t="s">
        <v>10</v>
      </c>
      <c r="I386" s="62">
        <v>11</v>
      </c>
      <c r="J386" s="71">
        <f t="shared" si="266"/>
        <v>11</v>
      </c>
      <c r="K386" s="72">
        <v>90</v>
      </c>
      <c r="L386" s="23">
        <f t="shared" si="267"/>
        <v>990</v>
      </c>
      <c r="M386" s="23">
        <v>1200</v>
      </c>
      <c r="N386" s="23">
        <f t="shared" si="268"/>
        <v>1200</v>
      </c>
      <c r="O386" s="23">
        <f t="shared" si="269"/>
        <v>2190</v>
      </c>
      <c r="P386" s="46"/>
    </row>
    <row r="387" spans="1:16" x14ac:dyDescent="0.25">
      <c r="A387" s="60">
        <f>IF(G387&lt;&gt;"",1+MAX($A$13:A386),"")</f>
        <v>240</v>
      </c>
      <c r="B387" s="16" t="s">
        <v>303</v>
      </c>
      <c r="C387" s="16" t="s">
        <v>93</v>
      </c>
      <c r="D387" s="10" t="s">
        <v>189</v>
      </c>
      <c r="E387" s="31">
        <v>3</v>
      </c>
      <c r="F387" s="39">
        <f>VLOOKUP(H387,'PROJECT SUMMARY'!$C$26:$D$32,2,0)</f>
        <v>0</v>
      </c>
      <c r="G387" s="31">
        <f t="shared" si="270"/>
        <v>3</v>
      </c>
      <c r="H387" s="16" t="s">
        <v>10</v>
      </c>
      <c r="I387" s="62">
        <v>2.9</v>
      </c>
      <c r="J387" s="71">
        <f t="shared" si="266"/>
        <v>8.6999999999999993</v>
      </c>
      <c r="K387" s="72">
        <v>90</v>
      </c>
      <c r="L387" s="23">
        <f t="shared" si="267"/>
        <v>782.99999999999989</v>
      </c>
      <c r="M387" s="23">
        <v>328</v>
      </c>
      <c r="N387" s="23">
        <f t="shared" si="268"/>
        <v>984</v>
      </c>
      <c r="O387" s="23">
        <f t="shared" si="269"/>
        <v>1767</v>
      </c>
      <c r="P387" s="46"/>
    </row>
    <row r="388" spans="1:16" ht="16.5" thickBot="1" x14ac:dyDescent="0.3">
      <c r="A388" s="60" t="str">
        <f>IF(G388&lt;&gt;"",1+MAX($A$13:A387),"")</f>
        <v/>
      </c>
      <c r="D388"/>
      <c r="E388"/>
      <c r="I388" s="62"/>
      <c r="J388" s="71"/>
      <c r="K388" s="72"/>
      <c r="P388" s="46"/>
    </row>
    <row r="389" spans="1:16" ht="16.5" thickBot="1" x14ac:dyDescent="0.3">
      <c r="A389" s="87" t="str">
        <f>IF(G389&lt;&gt;"",1+MAX($A$13:A388),"")</f>
        <v/>
      </c>
      <c r="B389" s="83"/>
      <c r="C389" s="83" t="s">
        <v>96</v>
      </c>
      <c r="D389" s="81" t="s">
        <v>97</v>
      </c>
      <c r="E389" s="85"/>
      <c r="F389" s="86"/>
      <c r="G389" s="85"/>
      <c r="H389" s="85"/>
      <c r="I389" s="81"/>
      <c r="J389" s="81"/>
      <c r="K389" s="82"/>
      <c r="L389" s="82"/>
      <c r="M389" s="82"/>
      <c r="N389" s="82"/>
      <c r="O389" s="84"/>
      <c r="P389" s="88">
        <f>SUM(O390:O396)</f>
        <v>40025</v>
      </c>
    </row>
    <row r="390" spans="1:16" x14ac:dyDescent="0.25">
      <c r="A390" s="60" t="str">
        <f>IF(G390&lt;&gt;"",1+MAX($A$13:A389),"")</f>
        <v/>
      </c>
      <c r="D390" s="59"/>
      <c r="I390" s="62"/>
      <c r="J390" s="71"/>
      <c r="K390" s="72"/>
      <c r="P390" s="46"/>
    </row>
    <row r="391" spans="1:16" x14ac:dyDescent="0.25">
      <c r="A391" s="60">
        <f>IF(G391&lt;&gt;"",1+MAX($A$13:A390),"")</f>
        <v>241</v>
      </c>
      <c r="B391" s="16" t="s">
        <v>303</v>
      </c>
      <c r="C391" s="16" t="s">
        <v>96</v>
      </c>
      <c r="D391" s="10" t="s">
        <v>272</v>
      </c>
      <c r="E391" s="31">
        <v>1</v>
      </c>
      <c r="F391" s="39">
        <f>VLOOKUP(H391,'PROJECT SUMMARY'!$C$26:$D$32,2,0)</f>
        <v>0</v>
      </c>
      <c r="G391" s="31">
        <f t="shared" ref="G391:G396" si="271">E391*(1+F391)</f>
        <v>1</v>
      </c>
      <c r="H391" s="16" t="s">
        <v>13</v>
      </c>
      <c r="I391" s="62">
        <v>150.417</v>
      </c>
      <c r="J391" s="71">
        <f t="shared" ref="J391:J396" si="272">I391*G391</f>
        <v>150.417</v>
      </c>
      <c r="K391" s="72">
        <v>100</v>
      </c>
      <c r="L391" s="23">
        <f t="shared" ref="L391:L396" si="273">K391*J391</f>
        <v>15041.7</v>
      </c>
      <c r="M391" s="23">
        <v>7989.2999999999993</v>
      </c>
      <c r="N391" s="23">
        <f t="shared" ref="N391:N396" si="274">M391*G391</f>
        <v>7989.2999999999993</v>
      </c>
      <c r="O391" s="23">
        <f t="shared" ref="O391:O396" si="275">L391+N391</f>
        <v>23031</v>
      </c>
      <c r="P391" s="46"/>
    </row>
    <row r="392" spans="1:16" x14ac:dyDescent="0.25">
      <c r="A392" s="60" t="str">
        <f>IF(G392&lt;&gt;"",1+MAX($A$13:A391),"")</f>
        <v/>
      </c>
      <c r="D392" s="59"/>
      <c r="I392" s="62"/>
      <c r="J392" s="71"/>
      <c r="K392" s="72"/>
      <c r="P392" s="46"/>
    </row>
    <row r="393" spans="1:16" ht="18.75" x14ac:dyDescent="0.25">
      <c r="A393" s="60" t="str">
        <f>IF(G393&lt;&gt;"",1+MAX($A$13:A392),"")</f>
        <v/>
      </c>
      <c r="D393" s="78" t="s">
        <v>92</v>
      </c>
      <c r="E393"/>
      <c r="I393" s="62"/>
      <c r="J393" s="71"/>
      <c r="K393" s="72"/>
      <c r="P393" s="46"/>
    </row>
    <row r="394" spans="1:16" x14ac:dyDescent="0.25">
      <c r="A394" s="60">
        <f>IF(G394&lt;&gt;"",1+MAX($A$13:A393),"")</f>
        <v>242</v>
      </c>
      <c r="B394" s="16" t="s">
        <v>303</v>
      </c>
      <c r="C394" s="16" t="s">
        <v>96</v>
      </c>
      <c r="D394" s="10" t="s">
        <v>190</v>
      </c>
      <c r="E394" s="31">
        <v>1</v>
      </c>
      <c r="F394" s="39">
        <f>VLOOKUP(H394,'PROJECT SUMMARY'!$C$26:$D$32,2,0)</f>
        <v>0</v>
      </c>
      <c r="G394" s="31">
        <f t="shared" si="271"/>
        <v>1</v>
      </c>
      <c r="H394" s="16" t="s">
        <v>10</v>
      </c>
      <c r="I394" s="62">
        <v>18</v>
      </c>
      <c r="J394" s="71">
        <f t="shared" si="272"/>
        <v>18</v>
      </c>
      <c r="K394" s="72">
        <v>100</v>
      </c>
      <c r="L394" s="23">
        <f t="shared" si="273"/>
        <v>1800</v>
      </c>
      <c r="M394" s="23">
        <v>10500</v>
      </c>
      <c r="N394" s="23">
        <f t="shared" si="274"/>
        <v>10500</v>
      </c>
      <c r="O394" s="23">
        <f t="shared" si="275"/>
        <v>12300</v>
      </c>
      <c r="P394" s="46"/>
    </row>
    <row r="395" spans="1:16" x14ac:dyDescent="0.25">
      <c r="A395" s="60">
        <f>IF(G395&lt;&gt;"",1+MAX($A$13:A394),"")</f>
        <v>243</v>
      </c>
      <c r="B395" s="16" t="s">
        <v>303</v>
      </c>
      <c r="C395" s="16" t="s">
        <v>96</v>
      </c>
      <c r="D395" s="10" t="s">
        <v>191</v>
      </c>
      <c r="E395" s="31">
        <v>1</v>
      </c>
      <c r="F395" s="39">
        <f>VLOOKUP(H395,'PROJECT SUMMARY'!$C$26:$D$32,2,0)</f>
        <v>0</v>
      </c>
      <c r="G395" s="31">
        <f t="shared" si="271"/>
        <v>1</v>
      </c>
      <c r="H395" s="16" t="s">
        <v>10</v>
      </c>
      <c r="I395" s="62">
        <v>9.2200000000000006</v>
      </c>
      <c r="J395" s="71">
        <f t="shared" si="272"/>
        <v>9.2200000000000006</v>
      </c>
      <c r="K395" s="72">
        <v>100</v>
      </c>
      <c r="L395" s="23">
        <f t="shared" si="273"/>
        <v>922.00000000000011</v>
      </c>
      <c r="M395" s="23">
        <v>1600</v>
      </c>
      <c r="N395" s="23">
        <f t="shared" si="274"/>
        <v>1600</v>
      </c>
      <c r="O395" s="23">
        <f t="shared" si="275"/>
        <v>2522</v>
      </c>
      <c r="P395" s="46"/>
    </row>
    <row r="396" spans="1:16" x14ac:dyDescent="0.25">
      <c r="A396" s="60">
        <f>IF(G396&lt;&gt;"",1+MAX($A$13:A395),"")</f>
        <v>244</v>
      </c>
      <c r="B396" s="16" t="s">
        <v>303</v>
      </c>
      <c r="C396" s="16" t="s">
        <v>96</v>
      </c>
      <c r="D396" s="10" t="s">
        <v>192</v>
      </c>
      <c r="E396" s="31">
        <v>1</v>
      </c>
      <c r="F396" s="39">
        <f>VLOOKUP(H396,'PROJECT SUMMARY'!$C$26:$D$32,2,0)</f>
        <v>0</v>
      </c>
      <c r="G396" s="31">
        <f t="shared" si="271"/>
        <v>1</v>
      </c>
      <c r="H396" s="16" t="s">
        <v>10</v>
      </c>
      <c r="I396" s="62">
        <v>8.5</v>
      </c>
      <c r="J396" s="71">
        <f t="shared" si="272"/>
        <v>8.5</v>
      </c>
      <c r="K396" s="72">
        <v>100</v>
      </c>
      <c r="L396" s="23">
        <f t="shared" si="273"/>
        <v>850</v>
      </c>
      <c r="M396" s="23">
        <v>1322</v>
      </c>
      <c r="N396" s="23">
        <f t="shared" si="274"/>
        <v>1322</v>
      </c>
      <c r="O396" s="23">
        <f t="shared" si="275"/>
        <v>2172</v>
      </c>
      <c r="P396" s="46"/>
    </row>
    <row r="397" spans="1:16" ht="16.5" thickBot="1" x14ac:dyDescent="0.3">
      <c r="A397" s="45" t="str">
        <f>IF(G397&lt;&gt;"",1+MAX($A$13:A396),"")</f>
        <v/>
      </c>
      <c r="P397" s="46"/>
    </row>
    <row r="398" spans="1:16" ht="16.5" thickBot="1" x14ac:dyDescent="0.3">
      <c r="A398" s="87" t="str">
        <f>IF(G398&lt;&gt;"",1+MAX($A$13:A397),"")</f>
        <v/>
      </c>
      <c r="B398" s="83"/>
      <c r="C398" s="83" t="s">
        <v>77</v>
      </c>
      <c r="D398" s="81" t="s">
        <v>78</v>
      </c>
      <c r="E398" s="85"/>
      <c r="F398" s="86"/>
      <c r="G398" s="85"/>
      <c r="H398" s="85"/>
      <c r="I398" s="81"/>
      <c r="J398" s="81"/>
      <c r="K398" s="82"/>
      <c r="L398" s="82"/>
      <c r="M398" s="82"/>
      <c r="N398" s="82"/>
      <c r="O398" s="84"/>
      <c r="P398" s="88">
        <f>SUM(O399:O418)</f>
        <v>56151.78</v>
      </c>
    </row>
    <row r="399" spans="1:16" x14ac:dyDescent="0.25">
      <c r="A399" s="45" t="str">
        <f>IF(G399&lt;&gt;"",1+MAX($A$13:A398),"")</f>
        <v/>
      </c>
      <c r="P399" s="46"/>
    </row>
    <row r="400" spans="1:16" x14ac:dyDescent="0.25">
      <c r="A400" s="16" t="str">
        <f>IF(G400&lt;&gt;"",1+MAX($A$13:A399),"")</f>
        <v/>
      </c>
      <c r="D400" s="58" t="s">
        <v>79</v>
      </c>
      <c r="P400" s="46"/>
    </row>
    <row r="401" spans="1:16" x14ac:dyDescent="0.25">
      <c r="A401" s="60">
        <f>IF(G401&lt;&gt;"",1+MAX($A$13:A400),"")</f>
        <v>245</v>
      </c>
      <c r="B401" s="16" t="s">
        <v>312</v>
      </c>
      <c r="C401" s="16" t="s">
        <v>77</v>
      </c>
      <c r="D401" s="10" t="s">
        <v>101</v>
      </c>
      <c r="E401" s="31">
        <v>65</v>
      </c>
      <c r="F401" s="39">
        <f>VLOOKUP(H401,'PROJECT SUMMARY'!$C$26:$D$32,2,0)</f>
        <v>0</v>
      </c>
      <c r="G401" s="31">
        <f>E401*(1+F401)</f>
        <v>65</v>
      </c>
      <c r="H401" s="16" t="s">
        <v>10</v>
      </c>
      <c r="I401" s="62">
        <v>1.88</v>
      </c>
      <c r="J401" s="71">
        <f>I401*G401</f>
        <v>122.19999999999999</v>
      </c>
      <c r="K401" s="72">
        <v>100</v>
      </c>
      <c r="L401" s="23">
        <f>K401*J401</f>
        <v>12219.999999999998</v>
      </c>
      <c r="M401" s="23">
        <v>74</v>
      </c>
      <c r="N401" s="23">
        <f>M401*G401</f>
        <v>4810</v>
      </c>
      <c r="O401" s="23">
        <f>L401+N401</f>
        <v>17030</v>
      </c>
      <c r="P401" s="46"/>
    </row>
    <row r="402" spans="1:16" x14ac:dyDescent="0.25">
      <c r="A402" s="60">
        <f>IF(G402&lt;&gt;"",1+MAX($A$13:A401),"")</f>
        <v>246</v>
      </c>
      <c r="B402" s="16" t="s">
        <v>312</v>
      </c>
      <c r="C402" s="16" t="s">
        <v>77</v>
      </c>
      <c r="D402" s="10" t="s">
        <v>102</v>
      </c>
      <c r="E402" s="31">
        <v>10</v>
      </c>
      <c r="F402" s="39">
        <f>VLOOKUP(H402,'PROJECT SUMMARY'!$C$26:$D$32,2,0)</f>
        <v>0</v>
      </c>
      <c r="G402" s="31">
        <f t="shared" ref="G402" si="276">E402*(1+F402)</f>
        <v>10</v>
      </c>
      <c r="H402" s="16" t="s">
        <v>10</v>
      </c>
      <c r="I402" s="62">
        <v>1.95</v>
      </c>
      <c r="J402" s="71">
        <f t="shared" ref="J402" si="277">I402*G402</f>
        <v>19.5</v>
      </c>
      <c r="K402" s="72">
        <v>100</v>
      </c>
      <c r="L402" s="23">
        <f t="shared" ref="L402" si="278">K402*J402</f>
        <v>1950</v>
      </c>
      <c r="M402" s="23">
        <v>121</v>
      </c>
      <c r="N402" s="23">
        <f t="shared" ref="N402" si="279">M402*G402</f>
        <v>1210</v>
      </c>
      <c r="O402" s="23">
        <f t="shared" ref="O402" si="280">L402+N402</f>
        <v>3160</v>
      </c>
      <c r="P402" s="46"/>
    </row>
    <row r="403" spans="1:16" x14ac:dyDescent="0.25">
      <c r="A403" s="45" t="str">
        <f>IF(G403&lt;&gt;"",1+MAX($A$13:A402),"")</f>
        <v/>
      </c>
      <c r="I403" s="62"/>
      <c r="P403" s="46"/>
    </row>
    <row r="404" spans="1:16" x14ac:dyDescent="0.25">
      <c r="A404" s="16" t="str">
        <f>IF(G404&lt;&gt;"",1+MAX($A$13:A403),"")</f>
        <v/>
      </c>
      <c r="D404" s="58" t="s">
        <v>100</v>
      </c>
      <c r="I404" s="62"/>
      <c r="P404" s="46"/>
    </row>
    <row r="405" spans="1:16" x14ac:dyDescent="0.25">
      <c r="A405" s="60">
        <f>IF(G405&lt;&gt;"",1+MAX($A$13:A404),"")</f>
        <v>247</v>
      </c>
      <c r="B405" s="16" t="s">
        <v>312</v>
      </c>
      <c r="C405" s="16" t="s">
        <v>77</v>
      </c>
      <c r="D405" s="10" t="s">
        <v>103</v>
      </c>
      <c r="E405" s="31">
        <v>11</v>
      </c>
      <c r="F405" s="39">
        <f>VLOOKUP(H405,'PROJECT SUMMARY'!$C$26:$D$32,2,0)</f>
        <v>0</v>
      </c>
      <c r="G405" s="31">
        <f>E405*(1+F405)</f>
        <v>11</v>
      </c>
      <c r="H405" s="16" t="s">
        <v>10</v>
      </c>
      <c r="I405" s="62">
        <v>0.85</v>
      </c>
      <c r="J405" s="71">
        <f>I405*G405</f>
        <v>9.35</v>
      </c>
      <c r="K405" s="72">
        <v>100</v>
      </c>
      <c r="L405" s="23">
        <f>K405*J405</f>
        <v>935</v>
      </c>
      <c r="M405" s="23">
        <v>22</v>
      </c>
      <c r="N405" s="23">
        <f>M405*G405</f>
        <v>242</v>
      </c>
      <c r="O405" s="23">
        <f>L405+N405</f>
        <v>1177</v>
      </c>
      <c r="P405" s="46"/>
    </row>
    <row r="406" spans="1:16" x14ac:dyDescent="0.25">
      <c r="A406" s="60">
        <f>IF(G406&lt;&gt;"",1+MAX($A$13:A405),"")</f>
        <v>248</v>
      </c>
      <c r="B406" s="16" t="s">
        <v>312</v>
      </c>
      <c r="C406" s="16" t="s">
        <v>77</v>
      </c>
      <c r="D406" s="10" t="s">
        <v>104</v>
      </c>
      <c r="E406" s="31">
        <v>28</v>
      </c>
      <c r="F406" s="39">
        <f>VLOOKUP(H406,'PROJECT SUMMARY'!$C$26:$D$32,2,0)</f>
        <v>0</v>
      </c>
      <c r="G406" s="31">
        <f t="shared" ref="G406:G418" si="281">E406*(1+F406)</f>
        <v>28</v>
      </c>
      <c r="H406" s="16" t="s">
        <v>10</v>
      </c>
      <c r="I406" s="62">
        <v>0.74</v>
      </c>
      <c r="J406" s="71">
        <f t="shared" ref="J406:J418" si="282">I406*G406</f>
        <v>20.72</v>
      </c>
      <c r="K406" s="72">
        <v>100</v>
      </c>
      <c r="L406" s="23">
        <f t="shared" ref="L406:L418" si="283">K406*J406</f>
        <v>2072</v>
      </c>
      <c r="M406" s="23">
        <v>18.5</v>
      </c>
      <c r="N406" s="23">
        <f t="shared" ref="N406:N418" si="284">M406*G406</f>
        <v>518</v>
      </c>
      <c r="O406" s="23">
        <f t="shared" ref="O406:O418" si="285">L406+N406</f>
        <v>2590</v>
      </c>
      <c r="P406" s="46"/>
    </row>
    <row r="407" spans="1:16" x14ac:dyDescent="0.25">
      <c r="A407" s="60">
        <f>IF(G407&lt;&gt;"",1+MAX($A$13:A406),"")</f>
        <v>249</v>
      </c>
      <c r="B407" s="16" t="s">
        <v>312</v>
      </c>
      <c r="C407" s="16" t="s">
        <v>77</v>
      </c>
      <c r="D407" s="10" t="s">
        <v>105</v>
      </c>
      <c r="E407" s="31">
        <v>5</v>
      </c>
      <c r="F407" s="39">
        <f>VLOOKUP(H407,'PROJECT SUMMARY'!$C$26:$D$32,2,0)</f>
        <v>0</v>
      </c>
      <c r="G407" s="31">
        <f t="shared" si="281"/>
        <v>5</v>
      </c>
      <c r="H407" s="16" t="s">
        <v>10</v>
      </c>
      <c r="I407" s="62">
        <v>0.85</v>
      </c>
      <c r="J407" s="71">
        <f t="shared" si="282"/>
        <v>4.25</v>
      </c>
      <c r="K407" s="72">
        <v>100</v>
      </c>
      <c r="L407" s="23">
        <f t="shared" si="283"/>
        <v>425</v>
      </c>
      <c r="M407" s="23">
        <v>22</v>
      </c>
      <c r="N407" s="23">
        <f t="shared" si="284"/>
        <v>110</v>
      </c>
      <c r="O407" s="23">
        <f t="shared" si="285"/>
        <v>535</v>
      </c>
      <c r="P407" s="46"/>
    </row>
    <row r="408" spans="1:16" x14ac:dyDescent="0.25">
      <c r="A408" s="60" t="str">
        <f>IF(G408&lt;&gt;"",1+MAX($A$13:A407),"")</f>
        <v/>
      </c>
      <c r="D408" s="59"/>
      <c r="I408" s="62"/>
      <c r="J408" s="71"/>
      <c r="K408" s="72"/>
      <c r="P408" s="46"/>
    </row>
    <row r="409" spans="1:16" x14ac:dyDescent="0.25">
      <c r="A409" s="60" t="str">
        <f>IF(G409&lt;&gt;"",1+MAX($A$13:A408),"")</f>
        <v/>
      </c>
      <c r="D409" s="58" t="s">
        <v>80</v>
      </c>
      <c r="I409" s="62"/>
      <c r="J409" s="71"/>
      <c r="K409" s="72"/>
      <c r="P409" s="46"/>
    </row>
    <row r="410" spans="1:16" x14ac:dyDescent="0.25">
      <c r="A410" s="60">
        <f>IF(G410&lt;&gt;"",1+MAX($A$13:A409),"")</f>
        <v>250</v>
      </c>
      <c r="B410" s="16" t="s">
        <v>312</v>
      </c>
      <c r="C410" s="16" t="s">
        <v>77</v>
      </c>
      <c r="D410" s="10" t="s">
        <v>106</v>
      </c>
      <c r="E410" s="31">
        <v>23</v>
      </c>
      <c r="F410" s="39">
        <f>VLOOKUP(H410,'PROJECT SUMMARY'!$C$26:$D$32,2,0)</f>
        <v>0</v>
      </c>
      <c r="G410" s="31">
        <f t="shared" si="281"/>
        <v>23</v>
      </c>
      <c r="H410" s="16" t="s">
        <v>10</v>
      </c>
      <c r="I410" s="62">
        <v>0.7</v>
      </c>
      <c r="J410" s="71">
        <f t="shared" si="282"/>
        <v>16.099999999999998</v>
      </c>
      <c r="K410" s="72">
        <v>100</v>
      </c>
      <c r="L410" s="23">
        <f t="shared" si="283"/>
        <v>1609.9999999999998</v>
      </c>
      <c r="M410" s="23">
        <v>13.22</v>
      </c>
      <c r="N410" s="23">
        <f t="shared" si="284"/>
        <v>304.06</v>
      </c>
      <c r="O410" s="23">
        <f t="shared" si="285"/>
        <v>1914.0599999999997</v>
      </c>
      <c r="P410" s="46"/>
    </row>
    <row r="411" spans="1:16" x14ac:dyDescent="0.25">
      <c r="A411" s="60">
        <f>IF(G411&lt;&gt;"",1+MAX($A$13:A410),"")</f>
        <v>251</v>
      </c>
      <c r="B411" s="16" t="s">
        <v>312</v>
      </c>
      <c r="C411" s="16" t="s">
        <v>77</v>
      </c>
      <c r="D411" s="10" t="s">
        <v>107</v>
      </c>
      <c r="E411" s="31">
        <v>8</v>
      </c>
      <c r="F411" s="39">
        <f>VLOOKUP(H411,'PROJECT SUMMARY'!$C$26:$D$32,2,0)</f>
        <v>0</v>
      </c>
      <c r="G411" s="31">
        <f t="shared" si="281"/>
        <v>8</v>
      </c>
      <c r="H411" s="16" t="s">
        <v>10</v>
      </c>
      <c r="I411" s="62">
        <v>0.99</v>
      </c>
      <c r="J411" s="71">
        <f t="shared" si="282"/>
        <v>7.92</v>
      </c>
      <c r="K411" s="72">
        <v>100</v>
      </c>
      <c r="L411" s="23">
        <f t="shared" si="283"/>
        <v>792</v>
      </c>
      <c r="M411" s="23">
        <v>31</v>
      </c>
      <c r="N411" s="23">
        <f t="shared" si="284"/>
        <v>248</v>
      </c>
      <c r="O411" s="23">
        <f t="shared" si="285"/>
        <v>1040</v>
      </c>
      <c r="P411" s="46"/>
    </row>
    <row r="412" spans="1:16" x14ac:dyDescent="0.25">
      <c r="A412" s="60">
        <f>IF(G412&lt;&gt;"",1+MAX($A$13:A411),"")</f>
        <v>252</v>
      </c>
      <c r="B412" s="16" t="s">
        <v>312</v>
      </c>
      <c r="C412" s="16" t="s">
        <v>77</v>
      </c>
      <c r="D412" s="10" t="s">
        <v>108</v>
      </c>
      <c r="E412" s="31">
        <v>9</v>
      </c>
      <c r="F412" s="39">
        <f>VLOOKUP(H412,'PROJECT SUMMARY'!$C$26:$D$32,2,0)</f>
        <v>0</v>
      </c>
      <c r="G412" s="31">
        <f t="shared" si="281"/>
        <v>9</v>
      </c>
      <c r="H412" s="16" t="s">
        <v>10</v>
      </c>
      <c r="I412" s="62">
        <v>1.1499999999999999</v>
      </c>
      <c r="J412" s="71">
        <f t="shared" si="282"/>
        <v>10.35</v>
      </c>
      <c r="K412" s="72">
        <v>100</v>
      </c>
      <c r="L412" s="23">
        <f t="shared" si="283"/>
        <v>1035</v>
      </c>
      <c r="M412" s="23">
        <v>56</v>
      </c>
      <c r="N412" s="23">
        <f t="shared" si="284"/>
        <v>504</v>
      </c>
      <c r="O412" s="23">
        <f t="shared" si="285"/>
        <v>1539</v>
      </c>
      <c r="P412" s="46"/>
    </row>
    <row r="413" spans="1:16" x14ac:dyDescent="0.25">
      <c r="A413" s="60" t="str">
        <f>IF(G413&lt;&gt;"",1+MAX($A$13:A412),"")</f>
        <v/>
      </c>
      <c r="D413" s="59"/>
      <c r="I413" s="62"/>
      <c r="J413" s="71"/>
      <c r="K413" s="72"/>
      <c r="P413" s="46"/>
    </row>
    <row r="414" spans="1:16" x14ac:dyDescent="0.25">
      <c r="A414" s="60" t="str">
        <f>IF(G414&lt;&gt;"",1+MAX($A$13:A413),"")</f>
        <v/>
      </c>
      <c r="D414" s="58" t="s">
        <v>81</v>
      </c>
      <c r="I414" s="62"/>
      <c r="J414" s="71"/>
      <c r="K414" s="72"/>
      <c r="P414" s="46"/>
    </row>
    <row r="415" spans="1:16" x14ac:dyDescent="0.25">
      <c r="A415" s="60">
        <f>IF(G415&lt;&gt;"",1+MAX($A$13:A414),"")</f>
        <v>253</v>
      </c>
      <c r="B415" s="16" t="s">
        <v>312</v>
      </c>
      <c r="C415" s="16" t="s">
        <v>77</v>
      </c>
      <c r="D415" s="10" t="s">
        <v>110</v>
      </c>
      <c r="E415" s="31">
        <v>1</v>
      </c>
      <c r="F415" s="39">
        <f>VLOOKUP(H415,'PROJECT SUMMARY'!$C$26:$D$32,2,0)</f>
        <v>0</v>
      </c>
      <c r="G415" s="31">
        <f t="shared" si="281"/>
        <v>1</v>
      </c>
      <c r="H415" s="16" t="s">
        <v>10</v>
      </c>
      <c r="I415" s="62">
        <v>3.65</v>
      </c>
      <c r="J415" s="71">
        <f t="shared" si="282"/>
        <v>3.65</v>
      </c>
      <c r="K415" s="72">
        <v>100</v>
      </c>
      <c r="L415" s="23">
        <f t="shared" si="283"/>
        <v>365</v>
      </c>
      <c r="M415" s="23">
        <v>650</v>
      </c>
      <c r="N415" s="23">
        <f t="shared" si="284"/>
        <v>650</v>
      </c>
      <c r="O415" s="23">
        <f t="shared" si="285"/>
        <v>1015</v>
      </c>
      <c r="P415" s="46"/>
    </row>
    <row r="416" spans="1:16" x14ac:dyDescent="0.25">
      <c r="A416" s="60" t="str">
        <f>IF(G416&lt;&gt;"",1+MAX($A$13:A415),"")</f>
        <v/>
      </c>
      <c r="I416" s="62"/>
      <c r="J416" s="71"/>
      <c r="K416" s="72"/>
      <c r="P416" s="46"/>
    </row>
    <row r="417" spans="1:16" x14ac:dyDescent="0.25">
      <c r="A417" s="60">
        <f>IF(G417&lt;&gt;"",1+MAX($A$13:A416),"")</f>
        <v>254</v>
      </c>
      <c r="C417" s="16" t="s">
        <v>77</v>
      </c>
      <c r="D417" s="10" t="s">
        <v>82</v>
      </c>
      <c r="E417" s="31">
        <f>163*16</f>
        <v>2608</v>
      </c>
      <c r="F417" s="39">
        <f>VLOOKUP(H417,'PROJECT SUMMARY'!$C$26:$D$32,2,0)</f>
        <v>0.05</v>
      </c>
      <c r="G417" s="31">
        <f t="shared" si="281"/>
        <v>2738.4</v>
      </c>
      <c r="H417" s="16" t="s">
        <v>11</v>
      </c>
      <c r="I417" s="62">
        <v>2.5000000000000001E-2</v>
      </c>
      <c r="J417" s="71">
        <f t="shared" si="282"/>
        <v>68.460000000000008</v>
      </c>
      <c r="K417" s="72">
        <v>100</v>
      </c>
      <c r="L417" s="23">
        <f t="shared" si="283"/>
        <v>6846.0000000000009</v>
      </c>
      <c r="M417" s="23">
        <v>1.35</v>
      </c>
      <c r="N417" s="23">
        <f t="shared" si="284"/>
        <v>3696.84</v>
      </c>
      <c r="O417" s="23">
        <f t="shared" si="285"/>
        <v>10542.84</v>
      </c>
      <c r="P417" s="46"/>
    </row>
    <row r="418" spans="1:16" x14ac:dyDescent="0.25">
      <c r="A418" s="60">
        <f>IF(G418&lt;&gt;"",1+MAX($A$13:A417),"")</f>
        <v>255</v>
      </c>
      <c r="C418" s="16" t="s">
        <v>77</v>
      </c>
      <c r="D418" s="10" t="s">
        <v>83</v>
      </c>
      <c r="E418" s="31">
        <f>E417*3</f>
        <v>7824</v>
      </c>
      <c r="F418" s="39">
        <f>VLOOKUP(H418,'PROJECT SUMMARY'!$C$26:$D$32,2,0)</f>
        <v>0.05</v>
      </c>
      <c r="G418" s="31">
        <f t="shared" si="281"/>
        <v>8215.2000000000007</v>
      </c>
      <c r="H418" s="16" t="s">
        <v>11</v>
      </c>
      <c r="I418" s="62">
        <v>1.4999999999999999E-2</v>
      </c>
      <c r="J418" s="71">
        <f t="shared" si="282"/>
        <v>123.22800000000001</v>
      </c>
      <c r="K418" s="72">
        <v>100</v>
      </c>
      <c r="L418" s="23">
        <f t="shared" si="283"/>
        <v>12322.800000000001</v>
      </c>
      <c r="M418" s="23">
        <v>0.4</v>
      </c>
      <c r="N418" s="23">
        <f t="shared" si="284"/>
        <v>3286.0800000000004</v>
      </c>
      <c r="O418" s="23">
        <f t="shared" si="285"/>
        <v>15608.880000000001</v>
      </c>
      <c r="P418" s="46"/>
    </row>
    <row r="419" spans="1:16" ht="16.5" thickBot="1" x14ac:dyDescent="0.3">
      <c r="A419" s="45" t="str">
        <f>IF(G419&lt;&gt;"",1+MAX($A$13:A418),"")</f>
        <v/>
      </c>
      <c r="I419" s="62"/>
      <c r="P419" s="46"/>
    </row>
    <row r="420" spans="1:16" ht="16.5" thickBot="1" x14ac:dyDescent="0.3">
      <c r="A420" s="87" t="str">
        <f>IF(G420&lt;&gt;"",1+MAX($A$13:A419),"")</f>
        <v/>
      </c>
      <c r="B420" s="83"/>
      <c r="C420" s="83" t="s">
        <v>84</v>
      </c>
      <c r="D420" s="81" t="s">
        <v>85</v>
      </c>
      <c r="E420" s="85"/>
      <c r="F420" s="86"/>
      <c r="G420" s="85"/>
      <c r="H420" s="85"/>
      <c r="I420" s="81"/>
      <c r="J420" s="81"/>
      <c r="K420" s="82"/>
      <c r="L420" s="82"/>
      <c r="M420" s="82"/>
      <c r="N420" s="82"/>
      <c r="O420" s="84"/>
      <c r="P420" s="88">
        <f>SUM(O421:O423)</f>
        <v>1168</v>
      </c>
    </row>
    <row r="421" spans="1:16" x14ac:dyDescent="0.25">
      <c r="A421" s="45" t="str">
        <f>IF(G421&lt;&gt;"",1+MAX($A$13:A420),"")</f>
        <v/>
      </c>
      <c r="P421" s="46"/>
    </row>
    <row r="422" spans="1:16" x14ac:dyDescent="0.25">
      <c r="A422" s="45" t="str">
        <f>IF(G422&lt;&gt;"",1+MAX($A$13:A421),"")</f>
        <v/>
      </c>
      <c r="D422" s="58" t="s">
        <v>86</v>
      </c>
      <c r="J422" s="71"/>
      <c r="P422" s="46"/>
    </row>
    <row r="423" spans="1:16" x14ac:dyDescent="0.25">
      <c r="A423" s="60">
        <f>IF(G423&lt;&gt;"",1+MAX($A$13:A422),"")</f>
        <v>256</v>
      </c>
      <c r="B423" s="16" t="s">
        <v>303</v>
      </c>
      <c r="C423" s="16" t="s">
        <v>84</v>
      </c>
      <c r="D423" s="10" t="s">
        <v>109</v>
      </c>
      <c r="E423" s="31">
        <v>4</v>
      </c>
      <c r="F423" s="39">
        <f>VLOOKUP(H423,'PROJECT SUMMARY'!$C$26:$D$32,2,0)</f>
        <v>0</v>
      </c>
      <c r="G423" s="31">
        <f>E423*(1+F423)</f>
        <v>4</v>
      </c>
      <c r="H423" s="16" t="s">
        <v>10</v>
      </c>
      <c r="I423" s="62">
        <v>1.7</v>
      </c>
      <c r="J423" s="71">
        <f>I423*G423</f>
        <v>6.8</v>
      </c>
      <c r="K423" s="72">
        <v>100</v>
      </c>
      <c r="L423" s="23">
        <f>K423*J423</f>
        <v>680</v>
      </c>
      <c r="M423" s="23">
        <v>122</v>
      </c>
      <c r="N423" s="23">
        <f>M423*G423</f>
        <v>488</v>
      </c>
      <c r="O423" s="23">
        <f>L423+N423</f>
        <v>1168</v>
      </c>
      <c r="P423" s="46"/>
    </row>
    <row r="424" spans="1:16" ht="16.5" thickBot="1" x14ac:dyDescent="0.3">
      <c r="A424" s="45" t="str">
        <f>IF(G424&lt;&gt;"",1+MAX($A$13:A423),"")</f>
        <v/>
      </c>
      <c r="I424" s="62"/>
      <c r="P424" s="46"/>
    </row>
    <row r="425" spans="1:16" ht="16.5" thickBot="1" x14ac:dyDescent="0.3">
      <c r="A425" s="87" t="str">
        <f>IF(G425&lt;&gt;"",1+MAX($A$13:A424),"")</f>
        <v/>
      </c>
      <c r="B425" s="83"/>
      <c r="C425" s="83" t="s">
        <v>258</v>
      </c>
      <c r="D425" s="81" t="s">
        <v>259</v>
      </c>
      <c r="E425" s="85"/>
      <c r="F425" s="86"/>
      <c r="G425" s="85"/>
      <c r="H425" s="85"/>
      <c r="I425" s="81"/>
      <c r="J425" s="81"/>
      <c r="K425" s="82"/>
      <c r="L425" s="82"/>
      <c r="M425" s="82"/>
      <c r="N425" s="82"/>
      <c r="O425" s="84"/>
      <c r="P425" s="88">
        <f>SUM(O426:O430)</f>
        <v>11655.362499999999</v>
      </c>
    </row>
    <row r="426" spans="1:16" x14ac:dyDescent="0.25">
      <c r="A426" s="45" t="str">
        <f>IF(G426&lt;&gt;"",1+MAX($A$13:A425),"")</f>
        <v/>
      </c>
      <c r="P426" s="46"/>
    </row>
    <row r="427" spans="1:16" x14ac:dyDescent="0.25">
      <c r="A427" s="60">
        <f>IF(G427&lt;&gt;"",1+MAX($A$13:A426),"")</f>
        <v>257</v>
      </c>
      <c r="C427" s="16" t="s">
        <v>258</v>
      </c>
      <c r="D427" s="10" t="s">
        <v>260</v>
      </c>
      <c r="E427" s="31">
        <v>151</v>
      </c>
      <c r="F427" s="39">
        <f>VLOOKUP(H427,'PROJECT SUMMARY'!$C$26:$D$32,2,0)</f>
        <v>0.05</v>
      </c>
      <c r="G427" s="31">
        <f>E427*(1+F427)</f>
        <v>158.55000000000001</v>
      </c>
      <c r="H427" s="16" t="s">
        <v>16</v>
      </c>
      <c r="I427" s="62">
        <v>0.3</v>
      </c>
      <c r="J427" s="71">
        <f>I427*G427</f>
        <v>47.565000000000005</v>
      </c>
      <c r="K427" s="72">
        <v>146</v>
      </c>
      <c r="L427" s="23">
        <f>K427*J427</f>
        <v>6944.4900000000007</v>
      </c>
      <c r="N427" s="23">
        <f>M427*G427</f>
        <v>0</v>
      </c>
      <c r="O427" s="23">
        <f>L427+N427</f>
        <v>6944.4900000000007</v>
      </c>
      <c r="P427" s="46"/>
    </row>
    <row r="428" spans="1:16" x14ac:dyDescent="0.25">
      <c r="A428" s="60">
        <f>IF(G428&lt;&gt;"",1+MAX($A$13:A427),"")</f>
        <v>258</v>
      </c>
      <c r="C428" s="16" t="s">
        <v>258</v>
      </c>
      <c r="D428" s="10" t="s">
        <v>261</v>
      </c>
      <c r="E428" s="31">
        <f>E427-94</f>
        <v>57</v>
      </c>
      <c r="F428" s="39">
        <f>VLOOKUP(H428,'PROJECT SUMMARY'!$C$26:$D$32,2,0)</f>
        <v>0.05</v>
      </c>
      <c r="G428" s="31">
        <f>E428*(1+F428)</f>
        <v>59.85</v>
      </c>
      <c r="H428" s="16" t="s">
        <v>16</v>
      </c>
      <c r="I428" s="62">
        <v>0.22500000000000001</v>
      </c>
      <c r="J428" s="71">
        <f>I428*G428</f>
        <v>13.46625</v>
      </c>
      <c r="K428" s="72">
        <v>146</v>
      </c>
      <c r="L428" s="23">
        <f>K428*J428</f>
        <v>1966.0725</v>
      </c>
      <c r="N428" s="23">
        <f>M428*G428</f>
        <v>0</v>
      </c>
      <c r="O428" s="23">
        <f>L428+N428</f>
        <v>1966.0725</v>
      </c>
      <c r="P428" s="46"/>
    </row>
    <row r="429" spans="1:16" x14ac:dyDescent="0.25">
      <c r="A429" s="60">
        <f>IF(G429&lt;&gt;"",1+MAX($A$13:A428),"")</f>
        <v>259</v>
      </c>
      <c r="C429" s="16" t="s">
        <v>258</v>
      </c>
      <c r="D429" s="10" t="s">
        <v>262</v>
      </c>
      <c r="E429" s="31">
        <f>E427-E428</f>
        <v>94</v>
      </c>
      <c r="F429" s="39">
        <f>VLOOKUP(H429,'PROJECT SUMMARY'!$C$26:$D$32,2,0)</f>
        <v>0</v>
      </c>
      <c r="G429" s="31">
        <f>E429*(1+F429)</f>
        <v>94</v>
      </c>
      <c r="H429" s="16" t="s">
        <v>10</v>
      </c>
      <c r="I429" s="62">
        <v>0.2</v>
      </c>
      <c r="J429" s="71">
        <f>I429*G429</f>
        <v>18.8</v>
      </c>
      <c r="K429" s="72">
        <v>146</v>
      </c>
      <c r="L429" s="23">
        <f>K429*J429</f>
        <v>2744.8</v>
      </c>
      <c r="N429" s="23">
        <f>M429*G429</f>
        <v>0</v>
      </c>
      <c r="O429" s="23">
        <f>L429+N429</f>
        <v>2744.8</v>
      </c>
      <c r="P429" s="46"/>
    </row>
    <row r="430" spans="1:16" ht="16.5" thickBot="1" x14ac:dyDescent="0.3">
      <c r="A430" s="45" t="str">
        <f>IF(G430&lt;&gt;"",1+MAX($A$13:A429),"")</f>
        <v/>
      </c>
      <c r="I430" s="62"/>
      <c r="P430" s="46"/>
    </row>
    <row r="431" spans="1:16" ht="16.5" thickBot="1" x14ac:dyDescent="0.3">
      <c r="A431" s="87" t="str">
        <f>IF(G431&lt;&gt;"",1+MAX($A$13:A430),"")</f>
        <v/>
      </c>
      <c r="B431" s="83"/>
      <c r="C431" s="83" t="s">
        <v>263</v>
      </c>
      <c r="D431" s="81" t="s">
        <v>264</v>
      </c>
      <c r="E431" s="85"/>
      <c r="F431" s="86"/>
      <c r="G431" s="85"/>
      <c r="H431" s="85"/>
      <c r="I431" s="81"/>
      <c r="J431" s="81"/>
      <c r="K431" s="82"/>
      <c r="L431" s="82"/>
      <c r="M431" s="82"/>
      <c r="N431" s="82"/>
      <c r="O431" s="84"/>
      <c r="P431" s="88">
        <f>SUM(O432:O451)</f>
        <v>26250.719934945955</v>
      </c>
    </row>
    <row r="432" spans="1:16" x14ac:dyDescent="0.25">
      <c r="A432" s="45" t="str">
        <f>IF(G432&lt;&gt;"",1+MAX($A$13:A431),"")</f>
        <v/>
      </c>
      <c r="P432" s="46"/>
    </row>
    <row r="433" spans="1:16" x14ac:dyDescent="0.25">
      <c r="A433" s="45" t="str">
        <f>IF(G433&lt;&gt;"",1+MAX($A$13:A432),"")</f>
        <v/>
      </c>
      <c r="D433" s="58" t="s">
        <v>265</v>
      </c>
      <c r="J433" s="71"/>
      <c r="P433" s="46"/>
    </row>
    <row r="434" spans="1:16" x14ac:dyDescent="0.25">
      <c r="A434" s="60">
        <f>IF(G434&lt;&gt;"",1+MAX($A$13:A433),"")</f>
        <v>260</v>
      </c>
      <c r="B434" s="16" t="s">
        <v>305</v>
      </c>
      <c r="C434" s="16" t="s">
        <v>263</v>
      </c>
      <c r="D434" s="10" t="s">
        <v>266</v>
      </c>
      <c r="E434" s="31">
        <f>544.17*0.33/27</f>
        <v>6.6509666666666662</v>
      </c>
      <c r="F434" s="39">
        <f>VLOOKUP(H434,'PROJECT SUMMARY'!$C$26:$D$32,2,0)</f>
        <v>0.05</v>
      </c>
      <c r="G434" s="31">
        <f>E434*(1+F434)</f>
        <v>6.9835149999999997</v>
      </c>
      <c r="H434" s="16" t="s">
        <v>16</v>
      </c>
      <c r="I434" s="62">
        <v>3.2</v>
      </c>
      <c r="J434" s="71">
        <f>I434*G434</f>
        <v>22.347248</v>
      </c>
      <c r="K434" s="23">
        <v>52</v>
      </c>
      <c r="L434" s="23">
        <f>K434*J434</f>
        <v>1162.0568960000001</v>
      </c>
      <c r="M434" s="23">
        <v>206</v>
      </c>
      <c r="N434" s="23">
        <f>M434*G434</f>
        <v>1438.60409</v>
      </c>
      <c r="O434" s="23">
        <f>L434+N434</f>
        <v>2600.6609859999999</v>
      </c>
      <c r="P434" s="46"/>
    </row>
    <row r="435" spans="1:16" x14ac:dyDescent="0.25">
      <c r="A435" s="60">
        <f>IF(G435&lt;&gt;"",1+MAX($A$13:A434),"")</f>
        <v>261</v>
      </c>
      <c r="B435" s="16" t="s">
        <v>305</v>
      </c>
      <c r="C435" s="16" t="s">
        <v>263</v>
      </c>
      <c r="D435" s="10" t="s">
        <v>267</v>
      </c>
      <c r="E435" s="31">
        <f>1424.48*0.5/27</f>
        <v>26.379259259259261</v>
      </c>
      <c r="F435" s="39">
        <f>VLOOKUP(H435,'PROJECT SUMMARY'!$C$26:$D$32,2,0)</f>
        <v>0.05</v>
      </c>
      <c r="G435" s="31">
        <f t="shared" ref="G435:G445" si="286">E435*(1+F435)</f>
        <v>27.698222222222224</v>
      </c>
      <c r="H435" s="16" t="s">
        <v>16</v>
      </c>
      <c r="I435" s="62">
        <v>3.2</v>
      </c>
      <c r="J435" s="71">
        <f>I435*G435</f>
        <v>88.634311111111117</v>
      </c>
      <c r="K435" s="23">
        <v>52</v>
      </c>
      <c r="L435" s="23">
        <f>K435*J435</f>
        <v>4608.9841777777783</v>
      </c>
      <c r="M435" s="23">
        <v>206</v>
      </c>
      <c r="N435" s="23">
        <f>M435*G435</f>
        <v>5705.8337777777779</v>
      </c>
      <c r="O435" s="23">
        <f>L435+N435</f>
        <v>10314.817955555556</v>
      </c>
      <c r="P435" s="46"/>
    </row>
    <row r="436" spans="1:16" x14ac:dyDescent="0.25">
      <c r="A436" s="60">
        <f>IF(G436&lt;&gt;"",1+MAX($A$13:A435),"")</f>
        <v>262</v>
      </c>
      <c r="B436" s="16" t="s">
        <v>305</v>
      </c>
      <c r="C436" s="16" t="s">
        <v>263</v>
      </c>
      <c r="D436" s="10" t="s">
        <v>268</v>
      </c>
      <c r="E436" s="31">
        <f>62.43*0.5/27</f>
        <v>1.1561111111111111</v>
      </c>
      <c r="F436" s="39">
        <f>VLOOKUP(H436,'PROJECT SUMMARY'!$C$26:$D$32,2,0)</f>
        <v>0.05</v>
      </c>
      <c r="G436" s="31">
        <f t="shared" si="286"/>
        <v>1.2139166666666668</v>
      </c>
      <c r="H436" s="16" t="s">
        <v>16</v>
      </c>
      <c r="I436" s="62">
        <v>3.2</v>
      </c>
      <c r="J436" s="71">
        <f>I436*G436</f>
        <v>3.8845333333333336</v>
      </c>
      <c r="K436" s="23">
        <v>52</v>
      </c>
      <c r="L436" s="23">
        <f>K436*J436</f>
        <v>201.99573333333336</v>
      </c>
      <c r="M436" s="23">
        <v>206</v>
      </c>
      <c r="N436" s="23">
        <f>M436*G436</f>
        <v>250.06683333333336</v>
      </c>
      <c r="O436" s="23">
        <f>L436+N436</f>
        <v>452.06256666666673</v>
      </c>
      <c r="P436" s="46"/>
    </row>
    <row r="437" spans="1:16" x14ac:dyDescent="0.25">
      <c r="A437" s="60" t="str">
        <f>IF(G437&lt;&gt;"",1+MAX($A$13:A436),"")</f>
        <v/>
      </c>
      <c r="I437" s="62"/>
      <c r="J437" s="71"/>
      <c r="K437" s="72"/>
      <c r="P437" s="46"/>
    </row>
    <row r="438" spans="1:16" x14ac:dyDescent="0.25">
      <c r="A438" s="60">
        <f>IF(G438&lt;&gt;"",1+MAX($A$13:A437),"")</f>
        <v>263</v>
      </c>
      <c r="B438" s="16" t="s">
        <v>302</v>
      </c>
      <c r="C438" s="16" t="s">
        <v>263</v>
      </c>
      <c r="D438" s="10" t="s">
        <v>269</v>
      </c>
      <c r="E438" s="31">
        <f>128.22*1/27</f>
        <v>4.7488888888888887</v>
      </c>
      <c r="F438" s="39">
        <f>VLOOKUP(H438,'PROJECT SUMMARY'!$C$26:$D$32,2,0)</f>
        <v>0.05</v>
      </c>
      <c r="G438" s="31">
        <f t="shared" si="286"/>
        <v>4.9863333333333335</v>
      </c>
      <c r="H438" s="16" t="s">
        <v>16</v>
      </c>
      <c r="I438" s="62">
        <v>3.2</v>
      </c>
      <c r="J438" s="71">
        <f>I438*G438</f>
        <v>15.956266666666668</v>
      </c>
      <c r="K438" s="23">
        <v>52</v>
      </c>
      <c r="L438" s="23">
        <f>K438*J438</f>
        <v>829.72586666666678</v>
      </c>
      <c r="M438" s="23">
        <v>206</v>
      </c>
      <c r="N438" s="23">
        <f>M438*G438</f>
        <v>1027.1846666666668</v>
      </c>
      <c r="O438" s="23">
        <f>L438+N438</f>
        <v>1856.9105333333337</v>
      </c>
      <c r="P438" s="46"/>
    </row>
    <row r="439" spans="1:16" x14ac:dyDescent="0.25">
      <c r="A439" s="60">
        <f>IF(G439&lt;&gt;"",1+MAX($A$13:A438),"")</f>
        <v>264</v>
      </c>
      <c r="B439" s="16" t="s">
        <v>302</v>
      </c>
      <c r="C439" s="16" t="s">
        <v>263</v>
      </c>
      <c r="D439" s="10" t="s">
        <v>112</v>
      </c>
      <c r="E439" s="31">
        <f>128.22*1.33*2*1.043</f>
        <v>355.73100359999995</v>
      </c>
      <c r="F439" s="39">
        <f>VLOOKUP(H439,'PROJECT SUMMARY'!$C$26:$D$32,2,0)</f>
        <v>0.05</v>
      </c>
      <c r="G439" s="31">
        <f t="shared" si="286"/>
        <v>373.51755377999996</v>
      </c>
      <c r="H439" s="16" t="s">
        <v>14</v>
      </c>
      <c r="I439" s="62">
        <v>1.4999999999999999E-2</v>
      </c>
      <c r="J439" s="71">
        <f>I439*G439</f>
        <v>5.6027633066999991</v>
      </c>
      <c r="K439" s="23">
        <v>52</v>
      </c>
      <c r="L439" s="23">
        <f>K439*J439</f>
        <v>291.34369194839996</v>
      </c>
      <c r="M439" s="23">
        <v>0.9</v>
      </c>
      <c r="N439" s="23">
        <f t="shared" ref="N439" si="287">M439*G439</f>
        <v>336.16579840199995</v>
      </c>
      <c r="O439" s="23">
        <f t="shared" ref="O439" si="288">L439+N439</f>
        <v>627.50949035039991</v>
      </c>
      <c r="P439" s="46"/>
    </row>
    <row r="440" spans="1:16" x14ac:dyDescent="0.25">
      <c r="A440" s="60" t="str">
        <f>IF(G440&lt;&gt;"",1+MAX($A$13:A439),"")</f>
        <v/>
      </c>
      <c r="I440" s="62"/>
      <c r="J440" s="71"/>
      <c r="K440" s="72"/>
      <c r="P440" s="46"/>
    </row>
    <row r="441" spans="1:16" x14ac:dyDescent="0.25">
      <c r="A441" s="60">
        <f>IF(G441&lt;&gt;"",1+MAX($A$13:A440),"")</f>
        <v>265</v>
      </c>
      <c r="B441" s="16" t="s">
        <v>302</v>
      </c>
      <c r="C441" s="16" t="s">
        <v>263</v>
      </c>
      <c r="D441" s="10" t="s">
        <v>270</v>
      </c>
      <c r="E441" s="31">
        <f>52.68*2.33*0.67/27</f>
        <v>3.0458795555555556</v>
      </c>
      <c r="F441" s="39">
        <f>VLOOKUP(H441,'PROJECT SUMMARY'!$C$26:$D$32,2,0)</f>
        <v>0.05</v>
      </c>
      <c r="G441" s="31">
        <f t="shared" si="286"/>
        <v>3.1981735333333337</v>
      </c>
      <c r="H441" s="16" t="s">
        <v>16</v>
      </c>
      <c r="I441" s="62">
        <v>3.2</v>
      </c>
      <c r="J441" s="71">
        <f>I441*G441</f>
        <v>10.234155306666668</v>
      </c>
      <c r="K441" s="23">
        <v>52</v>
      </c>
      <c r="L441" s="23">
        <f>K441*J441</f>
        <v>532.17607594666674</v>
      </c>
      <c r="M441" s="23">
        <v>206</v>
      </c>
      <c r="N441" s="23">
        <f>M441*G441</f>
        <v>658.82374786666674</v>
      </c>
      <c r="O441" s="23">
        <f>L441+N441</f>
        <v>1190.9998238133335</v>
      </c>
      <c r="P441" s="46"/>
    </row>
    <row r="442" spans="1:16" x14ac:dyDescent="0.25">
      <c r="A442" s="60">
        <f>IF(G442&lt;&gt;"",1+MAX($A$13:A441),"")</f>
        <v>266</v>
      </c>
      <c r="B442" s="16" t="s">
        <v>302</v>
      </c>
      <c r="C442" s="16" t="s">
        <v>263</v>
      </c>
      <c r="D442" s="10" t="s">
        <v>112</v>
      </c>
      <c r="E442" s="31">
        <f>52.68*3*1.043</f>
        <v>164.83571999999998</v>
      </c>
      <c r="F442" s="39">
        <f>VLOOKUP(H442,'PROJECT SUMMARY'!$C$26:$D$32,2,0)</f>
        <v>0.05</v>
      </c>
      <c r="G442" s="31">
        <f t="shared" ref="G442" si="289">E442*(1+F442)</f>
        <v>173.077506</v>
      </c>
      <c r="H442" s="16" t="s">
        <v>14</v>
      </c>
      <c r="I442" s="62">
        <v>1.4999999999999999E-2</v>
      </c>
      <c r="J442" s="71">
        <f>I442*G442</f>
        <v>2.59616259</v>
      </c>
      <c r="K442" s="23">
        <v>52</v>
      </c>
      <c r="L442" s="23">
        <f>K442*J442</f>
        <v>135.00045467999999</v>
      </c>
      <c r="M442" s="23">
        <v>0.9</v>
      </c>
      <c r="N442" s="23">
        <f t="shared" ref="N442" si="290">M442*G442</f>
        <v>155.76975540000001</v>
      </c>
      <c r="O442" s="23">
        <f t="shared" ref="O442" si="291">L442+N442</f>
        <v>290.77021007999997</v>
      </c>
      <c r="P442" s="46"/>
    </row>
    <row r="443" spans="1:16" x14ac:dyDescent="0.25">
      <c r="A443" s="60" t="str">
        <f>IF(G443&lt;&gt;"",1+MAX($A$13:A442),"")</f>
        <v/>
      </c>
      <c r="I443" s="62"/>
      <c r="J443" s="71"/>
      <c r="K443" s="72"/>
      <c r="P443" s="46"/>
    </row>
    <row r="444" spans="1:16" x14ac:dyDescent="0.25">
      <c r="A444" s="60">
        <f>IF(G444&lt;&gt;"",1+MAX($A$13:A443),"")</f>
        <v>267</v>
      </c>
      <c r="B444" s="16" t="s">
        <v>302</v>
      </c>
      <c r="C444" s="16" t="s">
        <v>263</v>
      </c>
      <c r="D444" s="10" t="s">
        <v>271</v>
      </c>
      <c r="E444" s="31">
        <f>52.68*1*6.67/27</f>
        <v>13.013911111111112</v>
      </c>
      <c r="F444" s="39">
        <f>VLOOKUP(H444,'PROJECT SUMMARY'!$C$26:$D$32,2,0)</f>
        <v>0.05</v>
      </c>
      <c r="G444" s="31">
        <f t="shared" si="286"/>
        <v>13.664606666666668</v>
      </c>
      <c r="H444" s="16" t="s">
        <v>16</v>
      </c>
      <c r="I444" s="62">
        <v>3.2</v>
      </c>
      <c r="J444" s="71">
        <f>I444*G444</f>
        <v>43.726741333333337</v>
      </c>
      <c r="K444" s="23">
        <v>52</v>
      </c>
      <c r="L444" s="23">
        <f>K444*J444</f>
        <v>2273.7905493333337</v>
      </c>
      <c r="M444" s="23">
        <v>206</v>
      </c>
      <c r="N444" s="23">
        <f>M444*G444</f>
        <v>2814.9089733333335</v>
      </c>
      <c r="O444" s="23">
        <f>L444+N444</f>
        <v>5088.6995226666677</v>
      </c>
      <c r="P444" s="46"/>
    </row>
    <row r="445" spans="1:16" x14ac:dyDescent="0.25">
      <c r="A445" s="60">
        <f>IF(G445&lt;&gt;"",1+MAX($A$13:A444),"")</f>
        <v>268</v>
      </c>
      <c r="B445" s="16" t="s">
        <v>302</v>
      </c>
      <c r="C445" s="16" t="s">
        <v>263</v>
      </c>
      <c r="D445" s="10" t="s">
        <v>112</v>
      </c>
      <c r="E445" s="31">
        <f>52.68*9*1.043*2</f>
        <v>989.01431999999988</v>
      </c>
      <c r="F445" s="39">
        <f>VLOOKUP(H445,'PROJECT SUMMARY'!$C$26:$D$32,2,0)</f>
        <v>0.05</v>
      </c>
      <c r="G445" s="31">
        <f t="shared" si="286"/>
        <v>1038.4650359999998</v>
      </c>
      <c r="H445" s="16" t="s">
        <v>14</v>
      </c>
      <c r="I445" s="62">
        <v>1.4999999999999999E-2</v>
      </c>
      <c r="J445" s="71">
        <f>I445*G445</f>
        <v>15.576975539999998</v>
      </c>
      <c r="K445" s="23">
        <v>52</v>
      </c>
      <c r="L445" s="23">
        <f>K445*J445</f>
        <v>810.00272807999988</v>
      </c>
      <c r="M445" s="23">
        <v>0.9</v>
      </c>
      <c r="N445" s="23">
        <f t="shared" ref="N445" si="292">M445*G445</f>
        <v>934.61853239999982</v>
      </c>
      <c r="O445" s="23">
        <f t="shared" ref="O445" si="293">L445+N445</f>
        <v>1744.6212604799998</v>
      </c>
      <c r="P445" s="46"/>
    </row>
    <row r="446" spans="1:16" x14ac:dyDescent="0.25">
      <c r="A446" s="45" t="str">
        <f>IF(G446&lt;&gt;"",1+MAX($A$13:A445),"")</f>
        <v/>
      </c>
      <c r="P446" s="46"/>
    </row>
    <row r="447" spans="1:16" x14ac:dyDescent="0.25">
      <c r="A447" s="45" t="str">
        <f>IF(G447&lt;&gt;"",1+MAX($A$13:A446),"")</f>
        <v/>
      </c>
      <c r="D447" s="58" t="s">
        <v>265</v>
      </c>
      <c r="J447" s="71"/>
      <c r="P447" s="46"/>
    </row>
    <row r="448" spans="1:16" x14ac:dyDescent="0.25">
      <c r="A448" s="60">
        <f>IF(G448&lt;&gt;"",1+MAX($A$13:A447),"")</f>
        <v>269</v>
      </c>
      <c r="C448" s="16" t="s">
        <v>263</v>
      </c>
      <c r="D448" s="10" t="s">
        <v>67</v>
      </c>
      <c r="E448" s="31">
        <v>55</v>
      </c>
      <c r="F448" s="39">
        <f>VLOOKUP(H448,'PROJECT SUMMARY'!$C$26:$D$32,2,0)</f>
        <v>0.05</v>
      </c>
      <c r="G448" s="31">
        <f>E448*(1+F448)</f>
        <v>57.75</v>
      </c>
      <c r="H448" s="16" t="s">
        <v>16</v>
      </c>
      <c r="I448" s="62">
        <v>0.3</v>
      </c>
      <c r="J448" s="71">
        <f>I448*G448</f>
        <v>17.324999999999999</v>
      </c>
      <c r="K448" s="23">
        <v>52</v>
      </c>
      <c r="L448" s="23">
        <f>K448*J448</f>
        <v>900.9</v>
      </c>
      <c r="N448" s="23">
        <f>M448*G448</f>
        <v>0</v>
      </c>
      <c r="O448" s="23">
        <f>L448+N448</f>
        <v>900.9</v>
      </c>
      <c r="P448" s="46"/>
    </row>
    <row r="449" spans="1:16" x14ac:dyDescent="0.25">
      <c r="A449" s="60">
        <f>IF(G449&lt;&gt;"",1+MAX($A$13:A448),"")</f>
        <v>270</v>
      </c>
      <c r="C449" s="16" t="s">
        <v>263</v>
      </c>
      <c r="D449" s="10" t="s">
        <v>122</v>
      </c>
      <c r="E449" s="31">
        <f>1509.58/2000</f>
        <v>0.75478999999999996</v>
      </c>
      <c r="F449" s="39">
        <f>VLOOKUP(H449,'PROJECT SUMMARY'!$C$26:$D$32,2,0)</f>
        <v>0.05</v>
      </c>
      <c r="G449" s="31">
        <f>E449*(1+F449)</f>
        <v>0.7925295</v>
      </c>
      <c r="H449" s="16" t="s">
        <v>15</v>
      </c>
      <c r="I449" s="62">
        <v>7</v>
      </c>
      <c r="J449" s="71">
        <f>I449*G449</f>
        <v>5.5477065000000003</v>
      </c>
      <c r="K449" s="23">
        <v>52</v>
      </c>
      <c r="L449" s="23">
        <f>K449*J449</f>
        <v>288.48073800000003</v>
      </c>
      <c r="N449" s="23">
        <f>M449*G449</f>
        <v>0</v>
      </c>
      <c r="O449" s="23">
        <f>L449+N449</f>
        <v>288.48073800000003</v>
      </c>
      <c r="P449" s="46"/>
    </row>
    <row r="450" spans="1:16" x14ac:dyDescent="0.25">
      <c r="A450" s="60">
        <f>IF(G450&lt;&gt;"",1+MAX($A$13:A449),"")</f>
        <v>271</v>
      </c>
      <c r="C450" s="16" t="s">
        <v>263</v>
      </c>
      <c r="D450" s="10" t="s">
        <v>123</v>
      </c>
      <c r="E450" s="31">
        <f>36.56*1.4</f>
        <v>51.183999999999997</v>
      </c>
      <c r="F450" s="39">
        <f>VLOOKUP(H450,'PROJECT SUMMARY'!$C$26:$D$32,2,0)</f>
        <v>0.05</v>
      </c>
      <c r="G450" s="31">
        <f>E450*(1+F450)</f>
        <v>53.743200000000002</v>
      </c>
      <c r="H450" s="16" t="s">
        <v>15</v>
      </c>
      <c r="I450" s="62">
        <v>0.32</v>
      </c>
      <c r="J450" s="71">
        <f>I450*G450</f>
        <v>17.197824000000001</v>
      </c>
      <c r="K450" s="23">
        <v>52</v>
      </c>
      <c r="L450" s="23">
        <f>K450*J450</f>
        <v>894.28684800000008</v>
      </c>
      <c r="N450" s="23">
        <f>M450*G450</f>
        <v>0</v>
      </c>
      <c r="O450" s="23">
        <f>L450+N450</f>
        <v>894.28684800000008</v>
      </c>
      <c r="P450" s="46"/>
    </row>
    <row r="451" spans="1:16" ht="16.5" thickBot="1" x14ac:dyDescent="0.3">
      <c r="A451" s="47"/>
      <c r="B451" s="48"/>
      <c r="C451" s="48"/>
      <c r="D451" s="48"/>
      <c r="E451" s="48"/>
      <c r="F451" s="50"/>
      <c r="P451" s="46"/>
    </row>
    <row r="452" spans="1:16" ht="16.5" thickBot="1" x14ac:dyDescent="0.3">
      <c r="G452" s="52"/>
      <c r="H452" s="53"/>
      <c r="I452" s="54" t="s">
        <v>41</v>
      </c>
      <c r="J452" s="97">
        <f>SUM(J14:J451)</f>
        <v>5089.199914247074</v>
      </c>
      <c r="K452" s="55"/>
      <c r="L452" s="91">
        <f>SUM(L14:L451)</f>
        <v>310772.32542442344</v>
      </c>
      <c r="M452" s="92"/>
      <c r="N452" s="91">
        <f>SUM(N14:N451)</f>
        <v>357765.89553861908</v>
      </c>
      <c r="O452" s="91">
        <f>SUM(O14:O451)</f>
        <v>668538.22096304246</v>
      </c>
      <c r="P452" s="91">
        <f>SUM(P14:P451)</f>
        <v>668538.22096304281</v>
      </c>
    </row>
    <row r="453" spans="1:16" ht="16.5" thickBot="1" x14ac:dyDescent="0.3">
      <c r="G453" s="21">
        <v>9.5000000000000001E-2</v>
      </c>
      <c r="H453" s="1" t="s">
        <v>20</v>
      </c>
      <c r="I453" s="1"/>
      <c r="J453" s="1"/>
      <c r="L453" s="93"/>
      <c r="M453" s="93"/>
      <c r="N453" s="91">
        <f>N452*G453</f>
        <v>33987.760076168815</v>
      </c>
      <c r="O453" s="91">
        <f>N453</f>
        <v>33987.760076168815</v>
      </c>
      <c r="P453" s="94">
        <f>O453</f>
        <v>33987.760076168815</v>
      </c>
    </row>
    <row r="454" spans="1:16" ht="16.5" thickBot="1" x14ac:dyDescent="0.3">
      <c r="G454" s="56">
        <v>0.2</v>
      </c>
      <c r="H454" s="57" t="s">
        <v>21</v>
      </c>
      <c r="I454" s="57"/>
      <c r="J454" s="57"/>
      <c r="K454" s="55"/>
      <c r="L454" s="91">
        <f>L452*G454</f>
        <v>62154.465084884694</v>
      </c>
      <c r="M454" s="92"/>
      <c r="N454" s="91">
        <f>N452*G454</f>
        <v>71553.179107723816</v>
      </c>
      <c r="O454" s="91">
        <f>L454+N454</f>
        <v>133707.64419260851</v>
      </c>
      <c r="P454" s="91">
        <f>O454</f>
        <v>133707.64419260851</v>
      </c>
    </row>
    <row r="455" spans="1:16" ht="16.5" thickBot="1" x14ac:dyDescent="0.3">
      <c r="G455" s="47"/>
      <c r="H455" s="49" t="s">
        <v>35</v>
      </c>
      <c r="I455" s="49"/>
      <c r="J455" s="49"/>
      <c r="K455" s="51"/>
      <c r="L455" s="91">
        <f>SUM(L452:L454)</f>
        <v>372926.79050930811</v>
      </c>
      <c r="M455" s="95"/>
      <c r="N455" s="91">
        <f>SUM(N452:N454)</f>
        <v>463306.8347225117</v>
      </c>
      <c r="O455" s="91">
        <f>SUM(O452:O454)</f>
        <v>836233.62523181981</v>
      </c>
      <c r="P455" s="96">
        <f>SUM(P452:P454)</f>
        <v>836233.62523182016</v>
      </c>
    </row>
  </sheetData>
  <mergeCells count="5">
    <mergeCell ref="A2:P2"/>
    <mergeCell ref="B7:C7"/>
    <mergeCell ref="B8:C8"/>
    <mergeCell ref="A5:D5"/>
    <mergeCell ref="B9:C9"/>
  </mergeCells>
  <pageMargins left="0.7" right="0.7" top="0.75" bottom="0.75" header="0.3" footer="0.3"/>
  <pageSetup scale="33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'PROJECT SUMMARY'!$C$26:$C$32</xm:f>
          </x14:formula1>
          <xm:sqref>H379:H450 H14:H376</xm:sqref>
        </x14:dataValidation>
        <x14:dataValidation type="list" allowBlank="1" showInputMessage="1" showErrorMessage="1" xr:uid="{00000000-0002-0000-0100-000001000000}">
          <x14:formula1>
            <xm:f>'C:\Users\waqar\Desktop\[MEP METROPOLITAN.xlsx]PROJECT SUMMARY'!#REF!</xm:f>
          </x14:formula1>
          <xm:sqref>H377:H378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9489827-E508-45A3-A8E3-87362EF7782B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SUMMARY</vt:lpstr>
      <vt:lpstr>BASE BID</vt:lpstr>
      <vt:lpstr>'BASE BID'!Print_Area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Azad</dc:creator>
  <cp:keywords/>
  <dc:description/>
  <cp:lastModifiedBy>Waqar Liaquat</cp:lastModifiedBy>
  <cp:revision/>
  <dcterms:created xsi:type="dcterms:W3CDTF">2021-10-19T09:11:38Z</dcterms:created>
  <dcterms:modified xsi:type="dcterms:W3CDTF">2023-11-09T19:18:29Z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{99489827-E508-45A3-A8E3-87362EF7782B}</vt:lpwstr>
  </property>
</Properties>
</file>